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820" yWindow="100" windowWidth="29800" windowHeight="16360" activeTab="9"/>
  </bookViews>
  <sheets>
    <sheet name="Inventory" sheetId="1" r:id="rId1"/>
    <sheet name="Sales" sheetId="2" r:id="rId2"/>
    <sheet name="Factories" sheetId="4" r:id="rId3"/>
    <sheet name="Shipyards" sheetId="9" r:id="rId4"/>
    <sheet name="Warehouses" sheetId="10" r:id="rId5"/>
    <sheet name="Utilities" sheetId="14" r:id="rId6"/>
    <sheet name="SSCEmployees" sheetId="5" r:id="rId7"/>
    <sheet name="SSC NPC Employees" sheetId="13" r:id="rId8"/>
    <sheet name="SSC Treasury" sheetId="7" r:id="rId9"/>
    <sheet name="Sullust Treasury" sheetId="6" r:id="rId10"/>
    <sheet name="NPC Employees" sheetId="12" r:id="rId11"/>
    <sheet name="Employees" sheetId="8" r:id="rId12"/>
    <sheet name="WoTC RPG" sheetId="11" r:id="rId1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8" i="8"/>
  <c r="I9"/>
  <c r="I10"/>
  <c r="I11"/>
  <c r="I12"/>
  <c r="I13"/>
  <c r="I14"/>
  <c r="I15"/>
  <c r="I16"/>
  <c r="I17"/>
  <c r="I18"/>
  <c r="I19"/>
  <c r="I20"/>
  <c r="H3"/>
  <c r="I3"/>
  <c r="H4"/>
  <c r="I4"/>
  <c r="H5"/>
  <c r="I5"/>
  <c r="H6"/>
  <c r="I6"/>
  <c r="H7"/>
  <c r="I7"/>
  <c r="J3"/>
  <c r="C103" i="4"/>
  <c r="C104"/>
  <c r="C105"/>
  <c r="C107"/>
  <c r="G91"/>
  <c r="G92"/>
  <c r="G93"/>
  <c r="G94"/>
  <c r="G95"/>
  <c r="G98"/>
  <c r="G105"/>
  <c r="G104"/>
  <c r="G103"/>
  <c r="E103"/>
  <c r="F103"/>
  <c r="H103"/>
  <c r="E104"/>
  <c r="F104"/>
  <c r="H104"/>
  <c r="E105"/>
  <c r="F105"/>
  <c r="H105"/>
  <c r="G87"/>
  <c r="G88"/>
  <c r="G89"/>
  <c r="G90"/>
  <c r="G96"/>
  <c r="G97"/>
  <c r="G99"/>
  <c r="G100"/>
  <c r="G101"/>
  <c r="G102"/>
  <c r="I3"/>
  <c r="F3"/>
  <c r="H3"/>
  <c r="F4"/>
  <c r="H4"/>
  <c r="F5"/>
  <c r="H5"/>
  <c r="F6"/>
  <c r="H6"/>
  <c r="F7"/>
  <c r="H7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F35"/>
  <c r="H35"/>
  <c r="F36"/>
  <c r="H36"/>
  <c r="F37"/>
  <c r="H37"/>
  <c r="F38"/>
  <c r="H38"/>
  <c r="F39"/>
  <c r="H39"/>
  <c r="F40"/>
  <c r="H40"/>
  <c r="F41"/>
  <c r="H41"/>
  <c r="F42"/>
  <c r="H42"/>
  <c r="F43"/>
  <c r="H43"/>
  <c r="F44"/>
  <c r="H44"/>
  <c r="F45"/>
  <c r="H45"/>
  <c r="F46"/>
  <c r="H46"/>
  <c r="F47"/>
  <c r="H47"/>
  <c r="F48"/>
  <c r="H48"/>
  <c r="F49"/>
  <c r="H49"/>
  <c r="F50"/>
  <c r="H50"/>
  <c r="F51"/>
  <c r="H51"/>
  <c r="F52"/>
  <c r="H52"/>
  <c r="F53"/>
  <c r="H53"/>
  <c r="F54"/>
  <c r="H54"/>
  <c r="F55"/>
  <c r="H55"/>
  <c r="F56"/>
  <c r="H56"/>
  <c r="F57"/>
  <c r="H57"/>
  <c r="F58"/>
  <c r="H58"/>
  <c r="F59"/>
  <c r="H59"/>
  <c r="F60"/>
  <c r="H60"/>
  <c r="F61"/>
  <c r="H61"/>
  <c r="F62"/>
  <c r="H62"/>
  <c r="F63"/>
  <c r="H63"/>
  <c r="F64"/>
  <c r="H64"/>
  <c r="F65"/>
  <c r="H65"/>
  <c r="F66"/>
  <c r="H66"/>
  <c r="F67"/>
  <c r="H67"/>
  <c r="F68"/>
  <c r="H68"/>
  <c r="F69"/>
  <c r="H69"/>
  <c r="F70"/>
  <c r="H70"/>
  <c r="F71"/>
  <c r="H71"/>
  <c r="F72"/>
  <c r="H72"/>
  <c r="F73"/>
  <c r="H73"/>
  <c r="F74"/>
  <c r="H74"/>
  <c r="F75"/>
  <c r="H75"/>
  <c r="F76"/>
  <c r="H76"/>
  <c r="F77"/>
  <c r="H77"/>
  <c r="F78"/>
  <c r="H78"/>
  <c r="F79"/>
  <c r="H79"/>
  <c r="F80"/>
  <c r="H80"/>
  <c r="F81"/>
  <c r="H81"/>
  <c r="F82"/>
  <c r="H82"/>
  <c r="F83"/>
  <c r="H83"/>
  <c r="F84"/>
  <c r="H84"/>
  <c r="F85"/>
  <c r="H85"/>
  <c r="F86"/>
  <c r="H86"/>
  <c r="F87"/>
  <c r="H87"/>
  <c r="F88"/>
  <c r="H88"/>
  <c r="F89"/>
  <c r="H89"/>
  <c r="F90"/>
  <c r="H90"/>
  <c r="F91"/>
  <c r="H91"/>
  <c r="F92"/>
  <c r="H92"/>
  <c r="F93"/>
  <c r="H93"/>
  <c r="F94"/>
  <c r="H94"/>
  <c r="F95"/>
  <c r="H95"/>
  <c r="F96"/>
  <c r="H96"/>
  <c r="F97"/>
  <c r="H97"/>
  <c r="F98"/>
  <c r="H98"/>
  <c r="E99"/>
  <c r="F99"/>
  <c r="H99"/>
  <c r="E100"/>
  <c r="F100"/>
  <c r="H100"/>
  <c r="E101"/>
  <c r="F101"/>
  <c r="H101"/>
  <c r="E102"/>
  <c r="F102"/>
  <c r="H102"/>
  <c r="F107"/>
  <c r="E10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J3"/>
  <c r="L3"/>
  <c r="K3"/>
  <c r="J56" i="1"/>
  <c r="J39"/>
  <c r="I5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6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32"/>
  <c r="G32"/>
  <c r="K32"/>
  <c r="G5"/>
  <c r="J5"/>
  <c r="K5"/>
  <c r="M5"/>
  <c r="D5"/>
  <c r="O5"/>
  <c r="J31"/>
  <c r="G31"/>
  <c r="K31"/>
  <c r="M31"/>
  <c r="U31"/>
  <c r="J33"/>
  <c r="G33"/>
  <c r="K33"/>
  <c r="M33"/>
  <c r="U33"/>
  <c r="J34"/>
  <c r="G34"/>
  <c r="K34"/>
  <c r="M34"/>
  <c r="U34"/>
  <c r="J35"/>
  <c r="G35"/>
  <c r="K35"/>
  <c r="M35"/>
  <c r="U35"/>
  <c r="J36"/>
  <c r="G36"/>
  <c r="K36"/>
  <c r="M36"/>
  <c r="U36"/>
  <c r="J37"/>
  <c r="G37"/>
  <c r="K37"/>
  <c r="M37"/>
  <c r="U37"/>
  <c r="J38"/>
  <c r="G38"/>
  <c r="K38"/>
  <c r="M38"/>
  <c r="U38"/>
  <c r="J40"/>
  <c r="G40"/>
  <c r="K40"/>
  <c r="M40"/>
  <c r="U40"/>
  <c r="J41"/>
  <c r="G41"/>
  <c r="K41"/>
  <c r="M41"/>
  <c r="U41"/>
  <c r="J42"/>
  <c r="G42"/>
  <c r="K42"/>
  <c r="M42"/>
  <c r="U42"/>
  <c r="J43"/>
  <c r="G43"/>
  <c r="K43"/>
  <c r="M43"/>
  <c r="U43"/>
  <c r="J44"/>
  <c r="G44"/>
  <c r="K44"/>
  <c r="M44"/>
  <c r="U44"/>
  <c r="J45"/>
  <c r="G45"/>
  <c r="K45"/>
  <c r="M45"/>
  <c r="U45"/>
  <c r="J46"/>
  <c r="G46"/>
  <c r="K46"/>
  <c r="M46"/>
  <c r="U46"/>
  <c r="J47"/>
  <c r="G47"/>
  <c r="K47"/>
  <c r="M47"/>
  <c r="U47"/>
  <c r="J48"/>
  <c r="G48"/>
  <c r="K48"/>
  <c r="M48"/>
  <c r="U48"/>
  <c r="J49"/>
  <c r="G49"/>
  <c r="K49"/>
  <c r="M49"/>
  <c r="U49"/>
  <c r="J50"/>
  <c r="G50"/>
  <c r="K50"/>
  <c r="M50"/>
  <c r="U50"/>
  <c r="J51"/>
  <c r="G51"/>
  <c r="K51"/>
  <c r="M51"/>
  <c r="U51"/>
  <c r="J52"/>
  <c r="G52"/>
  <c r="K52"/>
  <c r="M52"/>
  <c r="U52"/>
  <c r="J53"/>
  <c r="G53"/>
  <c r="K53"/>
  <c r="M53"/>
  <c r="U53"/>
  <c r="J54"/>
  <c r="G54"/>
  <c r="K54"/>
  <c r="M54"/>
  <c r="U54"/>
  <c r="J55"/>
  <c r="G55"/>
  <c r="K55"/>
  <c r="M55"/>
  <c r="U55"/>
  <c r="J57"/>
  <c r="G57"/>
  <c r="K57"/>
  <c r="M57"/>
  <c r="U57"/>
  <c r="J58"/>
  <c r="G58"/>
  <c r="K58"/>
  <c r="M58"/>
  <c r="U58"/>
  <c r="J59"/>
  <c r="G59"/>
  <c r="K59"/>
  <c r="M59"/>
  <c r="U59"/>
  <c r="J60"/>
  <c r="G60"/>
  <c r="K60"/>
  <c r="M60"/>
  <c r="U60"/>
  <c r="J61"/>
  <c r="G61"/>
  <c r="K61"/>
  <c r="M61"/>
  <c r="U61"/>
  <c r="J62"/>
  <c r="G62"/>
  <c r="K62"/>
  <c r="M62"/>
  <c r="U62"/>
  <c r="J63"/>
  <c r="G63"/>
  <c r="K63"/>
  <c r="M63"/>
  <c r="U63"/>
  <c r="J64"/>
  <c r="G64"/>
  <c r="K64"/>
  <c r="M64"/>
  <c r="U64"/>
  <c r="J65"/>
  <c r="G65"/>
  <c r="K65"/>
  <c r="M65"/>
  <c r="U65"/>
  <c r="J66"/>
  <c r="G66"/>
  <c r="K66"/>
  <c r="M66"/>
  <c r="U66"/>
  <c r="J67"/>
  <c r="G67"/>
  <c r="K67"/>
  <c r="M67"/>
  <c r="U67"/>
  <c r="J68"/>
  <c r="G68"/>
  <c r="K68"/>
  <c r="M68"/>
  <c r="U68"/>
  <c r="J69"/>
  <c r="G69"/>
  <c r="K69"/>
  <c r="M69"/>
  <c r="U69"/>
  <c r="J70"/>
  <c r="G70"/>
  <c r="K70"/>
  <c r="M70"/>
  <c r="U70"/>
  <c r="J71"/>
  <c r="G71"/>
  <c r="K71"/>
  <c r="M71"/>
  <c r="U71"/>
  <c r="J72"/>
  <c r="G72"/>
  <c r="K72"/>
  <c r="M72"/>
  <c r="U72"/>
  <c r="J73"/>
  <c r="G73"/>
  <c r="K73"/>
  <c r="M73"/>
  <c r="U73"/>
  <c r="J74"/>
  <c r="G74"/>
  <c r="K74"/>
  <c r="M74"/>
  <c r="U74"/>
  <c r="J75"/>
  <c r="G75"/>
  <c r="K75"/>
  <c r="M75"/>
  <c r="U75"/>
  <c r="J76"/>
  <c r="G76"/>
  <c r="K76"/>
  <c r="M76"/>
  <c r="U76"/>
  <c r="J103"/>
  <c r="G103"/>
  <c r="K103"/>
  <c r="M103"/>
  <c r="U103"/>
  <c r="J104"/>
  <c r="G104"/>
  <c r="K104"/>
  <c r="M104"/>
  <c r="U104"/>
  <c r="J105"/>
  <c r="G105"/>
  <c r="K105"/>
  <c r="M105"/>
  <c r="U105"/>
  <c r="J106"/>
  <c r="G106"/>
  <c r="K106"/>
  <c r="M106"/>
  <c r="U106"/>
  <c r="J107"/>
  <c r="G107"/>
  <c r="K107"/>
  <c r="M107"/>
  <c r="U107"/>
  <c r="J108"/>
  <c r="G108"/>
  <c r="K108"/>
  <c r="M108"/>
  <c r="U108"/>
  <c r="J109"/>
  <c r="G109"/>
  <c r="K109"/>
  <c r="M109"/>
  <c r="U109"/>
  <c r="J110"/>
  <c r="G110"/>
  <c r="K110"/>
  <c r="M110"/>
  <c r="U110"/>
  <c r="U5"/>
  <c r="G6"/>
  <c r="K6"/>
  <c r="M6"/>
  <c r="U6"/>
  <c r="G7"/>
  <c r="K7"/>
  <c r="M7"/>
  <c r="U7"/>
  <c r="G8"/>
  <c r="K8"/>
  <c r="M8"/>
  <c r="U8"/>
  <c r="G9"/>
  <c r="K9"/>
  <c r="M9"/>
  <c r="U9"/>
  <c r="G10"/>
  <c r="K10"/>
  <c r="M10"/>
  <c r="U10"/>
  <c r="G11"/>
  <c r="K11"/>
  <c r="M11"/>
  <c r="U11"/>
  <c r="G12"/>
  <c r="K12"/>
  <c r="M12"/>
  <c r="U12"/>
  <c r="G13"/>
  <c r="K13"/>
  <c r="M13"/>
  <c r="U13"/>
  <c r="G14"/>
  <c r="K14"/>
  <c r="M14"/>
  <c r="U14"/>
  <c r="G15"/>
  <c r="K15"/>
  <c r="M15"/>
  <c r="U15"/>
  <c r="G16"/>
  <c r="K16"/>
  <c r="M16"/>
  <c r="U16"/>
  <c r="G17"/>
  <c r="K17"/>
  <c r="M17"/>
  <c r="U17"/>
  <c r="G18"/>
  <c r="K18"/>
  <c r="M18"/>
  <c r="U18"/>
  <c r="G19"/>
  <c r="K19"/>
  <c r="M19"/>
  <c r="U19"/>
  <c r="G20"/>
  <c r="K20"/>
  <c r="M20"/>
  <c r="U20"/>
  <c r="G21"/>
  <c r="K21"/>
  <c r="M21"/>
  <c r="U21"/>
  <c r="G22"/>
  <c r="K22"/>
  <c r="M22"/>
  <c r="U22"/>
  <c r="G23"/>
  <c r="K23"/>
  <c r="M23"/>
  <c r="U23"/>
  <c r="G24"/>
  <c r="K24"/>
  <c r="M24"/>
  <c r="U24"/>
  <c r="G25"/>
  <c r="K25"/>
  <c r="M25"/>
  <c r="U25"/>
  <c r="G26"/>
  <c r="K26"/>
  <c r="M26"/>
  <c r="U26"/>
  <c r="G27"/>
  <c r="K27"/>
  <c r="M27"/>
  <c r="U27"/>
  <c r="G28"/>
  <c r="K28"/>
  <c r="M28"/>
  <c r="U28"/>
  <c r="G29"/>
  <c r="K29"/>
  <c r="M29"/>
  <c r="U29"/>
  <c r="G30"/>
  <c r="K30"/>
  <c r="M30"/>
  <c r="U30"/>
  <c r="I32"/>
  <c r="G77"/>
  <c r="K77"/>
  <c r="G78"/>
  <c r="K78"/>
  <c r="G79"/>
  <c r="K79"/>
  <c r="G80"/>
  <c r="K80"/>
  <c r="G81"/>
  <c r="K81"/>
  <c r="G82"/>
  <c r="K82"/>
  <c r="G83"/>
  <c r="K83"/>
  <c r="G84"/>
  <c r="K84"/>
  <c r="G85"/>
  <c r="K85"/>
  <c r="G86"/>
  <c r="K86"/>
  <c r="G87"/>
  <c r="K87"/>
  <c r="G88"/>
  <c r="K88"/>
  <c r="G89"/>
  <c r="K89"/>
  <c r="G90"/>
  <c r="K90"/>
  <c r="G91"/>
  <c r="K91"/>
  <c r="G92"/>
  <c r="K92"/>
  <c r="G93"/>
  <c r="K93"/>
  <c r="G94"/>
  <c r="K94"/>
  <c r="G95"/>
  <c r="K95"/>
  <c r="G96"/>
  <c r="K96"/>
  <c r="G97"/>
  <c r="K97"/>
  <c r="G98"/>
  <c r="K98"/>
  <c r="G99"/>
  <c r="K99"/>
  <c r="G100"/>
  <c r="K100"/>
  <c r="G101"/>
  <c r="K101"/>
  <c r="G102"/>
  <c r="K102"/>
  <c r="G56"/>
  <c r="K56"/>
  <c r="G39"/>
  <c r="K39"/>
  <c r="K112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2"/>
  <c r="Q5"/>
  <c r="H112"/>
  <c r="M56"/>
  <c r="U56"/>
  <c r="M39"/>
  <c r="U39"/>
  <c r="M77"/>
  <c r="U77"/>
  <c r="M78"/>
  <c r="U78"/>
  <c r="M79"/>
  <c r="U79"/>
  <c r="M80"/>
  <c r="U80"/>
  <c r="M81"/>
  <c r="U81"/>
  <c r="M82"/>
  <c r="U82"/>
  <c r="M83"/>
  <c r="U83"/>
  <c r="M84"/>
  <c r="U84"/>
  <c r="M85"/>
  <c r="U85"/>
  <c r="M86"/>
  <c r="U86"/>
  <c r="M87"/>
  <c r="U87"/>
  <c r="M88"/>
  <c r="U88"/>
  <c r="M89"/>
  <c r="U89"/>
  <c r="M90"/>
  <c r="U90"/>
  <c r="M91"/>
  <c r="U91"/>
  <c r="M92"/>
  <c r="U92"/>
  <c r="M93"/>
  <c r="U93"/>
  <c r="M94"/>
  <c r="U94"/>
  <c r="M95"/>
  <c r="U95"/>
  <c r="M96"/>
  <c r="U96"/>
  <c r="M97"/>
  <c r="U97"/>
  <c r="M98"/>
  <c r="U98"/>
  <c r="M99"/>
  <c r="U99"/>
  <c r="M100"/>
  <c r="U100"/>
  <c r="M101"/>
  <c r="U101"/>
  <c r="M102"/>
  <c r="U102"/>
  <c r="O103"/>
  <c r="O104"/>
  <c r="O105"/>
  <c r="O106"/>
  <c r="O107"/>
  <c r="O108"/>
  <c r="O109"/>
  <c r="O110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56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M32"/>
  <c r="U32"/>
  <c r="U111"/>
  <c r="U114"/>
  <c r="O32"/>
  <c r="R5"/>
  <c r="P32"/>
  <c r="S5"/>
  <c r="B2" i="12"/>
  <c r="B3"/>
  <c r="B4"/>
  <c r="B5"/>
  <c r="B6"/>
  <c r="B7"/>
  <c r="B8"/>
  <c r="B9"/>
  <c r="B26"/>
  <c r="B27"/>
  <c r="B28"/>
  <c r="B10"/>
  <c r="B13"/>
  <c r="B31"/>
  <c r="B14"/>
  <c r="C2"/>
  <c r="C3"/>
  <c r="C4"/>
  <c r="C5"/>
  <c r="C6"/>
  <c r="C7"/>
  <c r="C8"/>
  <c r="C9"/>
  <c r="C10"/>
  <c r="C14"/>
  <c r="C17"/>
  <c r="E14"/>
  <c r="B32"/>
  <c r="B33"/>
  <c r="B16"/>
  <c r="E17"/>
  <c r="H14"/>
  <c r="H17"/>
  <c r="F40"/>
  <c r="B30"/>
  <c r="B34"/>
  <c r="B35"/>
  <c r="B15"/>
  <c r="B20"/>
  <c r="B22"/>
  <c r="G14"/>
  <c r="G17"/>
  <c r="F14"/>
  <c r="F17"/>
  <c r="B23"/>
  <c r="E21"/>
  <c r="B21"/>
  <c r="C21"/>
  <c r="B37"/>
  <c r="B38"/>
  <c r="D2"/>
  <c r="E2"/>
  <c r="J52" i="2"/>
  <c r="K54"/>
  <c r="M54"/>
  <c r="N54"/>
  <c r="K55"/>
  <c r="M55"/>
  <c r="N55"/>
  <c r="K52"/>
  <c r="M52"/>
  <c r="N52"/>
  <c r="J49"/>
  <c r="K49"/>
  <c r="M49"/>
  <c r="N49"/>
  <c r="J47"/>
  <c r="K47"/>
  <c r="M47"/>
  <c r="N47"/>
  <c r="J48"/>
  <c r="K48"/>
  <c r="M48"/>
  <c r="N48"/>
  <c r="N50"/>
  <c r="J45"/>
  <c r="K4"/>
  <c r="L4"/>
  <c r="K5"/>
  <c r="L5"/>
  <c r="K6"/>
  <c r="L6"/>
  <c r="K7"/>
  <c r="L7"/>
  <c r="K8"/>
  <c r="L8"/>
  <c r="N34"/>
  <c r="K36"/>
  <c r="N36"/>
  <c r="K37"/>
  <c r="N37"/>
  <c r="K38"/>
  <c r="N38"/>
  <c r="K39"/>
  <c r="N39"/>
  <c r="K40"/>
  <c r="N40"/>
  <c r="N41"/>
  <c r="K43"/>
  <c r="N43"/>
  <c r="M5"/>
  <c r="N5"/>
  <c r="M6"/>
  <c r="N6"/>
  <c r="M7"/>
  <c r="N7"/>
  <c r="M8"/>
  <c r="N8"/>
  <c r="K9"/>
  <c r="M9"/>
  <c r="N9"/>
  <c r="K10"/>
  <c r="M10"/>
  <c r="N10"/>
  <c r="K11"/>
  <c r="M11"/>
  <c r="N11"/>
  <c r="K12"/>
  <c r="M12"/>
  <c r="N12"/>
  <c r="K13"/>
  <c r="M13"/>
  <c r="N13"/>
  <c r="K14"/>
  <c r="M14"/>
  <c r="N14"/>
  <c r="K15"/>
  <c r="M15"/>
  <c r="N15"/>
  <c r="K16"/>
  <c r="M16"/>
  <c r="N16"/>
  <c r="K17"/>
  <c r="M17"/>
  <c r="N17"/>
  <c r="K18"/>
  <c r="M18"/>
  <c r="N18"/>
  <c r="K19"/>
  <c r="M19"/>
  <c r="N19"/>
  <c r="K20"/>
  <c r="M20"/>
  <c r="N20"/>
  <c r="K21"/>
  <c r="M21"/>
  <c r="N21"/>
  <c r="K22"/>
  <c r="M22"/>
  <c r="N22"/>
  <c r="K23"/>
  <c r="M23"/>
  <c r="N23"/>
  <c r="K24"/>
  <c r="M24"/>
  <c r="N24"/>
  <c r="K25"/>
  <c r="M25"/>
  <c r="N25"/>
  <c r="K26"/>
  <c r="M26"/>
  <c r="N26"/>
  <c r="K27"/>
  <c r="M27"/>
  <c r="N27"/>
  <c r="K28"/>
  <c r="M28"/>
  <c r="N28"/>
  <c r="K29"/>
  <c r="M29"/>
  <c r="N29"/>
  <c r="K30"/>
  <c r="M30"/>
  <c r="N30"/>
  <c r="K31"/>
  <c r="M31"/>
  <c r="N31"/>
  <c r="K32"/>
  <c r="M32"/>
  <c r="N32"/>
  <c r="K33"/>
  <c r="M33"/>
  <c r="N33"/>
  <c r="M4"/>
  <c r="N4"/>
  <c r="K45"/>
  <c r="M45"/>
  <c r="N45"/>
  <c r="E3" i="9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7"/>
  <c r="D27"/>
  <c r="I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K3"/>
  <c r="H3"/>
  <c r="J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D2" i="13"/>
  <c r="B5"/>
  <c r="C5"/>
  <c r="C3"/>
  <c r="C2"/>
  <c r="B3"/>
  <c r="B2"/>
  <c r="C4"/>
  <c r="B4"/>
  <c r="E12" i="7"/>
  <c r="E11"/>
  <c r="I3"/>
  <c r="E3"/>
  <c r="E4"/>
  <c r="E5"/>
  <c r="B9"/>
  <c r="B7"/>
  <c r="B4"/>
  <c r="E6"/>
  <c r="D22"/>
  <c r="B3"/>
  <c r="B6"/>
  <c r="E9"/>
  <c r="C22"/>
  <c r="B11"/>
  <c r="B22"/>
  <c r="B10"/>
  <c r="E8"/>
  <c r="B5"/>
  <c r="E7"/>
  <c r="E10"/>
  <c r="G3"/>
  <c r="B8"/>
  <c r="D3"/>
  <c r="A22"/>
  <c r="H3"/>
  <c r="I5" i="5"/>
  <c r="I4"/>
  <c r="I3"/>
  <c r="J5"/>
  <c r="J4"/>
  <c r="J3"/>
  <c r="J6"/>
  <c r="J7"/>
  <c r="J8"/>
  <c r="J9"/>
  <c r="J10"/>
  <c r="J11"/>
  <c r="J12"/>
  <c r="J13"/>
  <c r="J14"/>
  <c r="J15"/>
  <c r="J16"/>
  <c r="J17"/>
  <c r="J18"/>
  <c r="J19"/>
  <c r="K3"/>
  <c r="E3" i="6"/>
  <c r="K3"/>
  <c r="E11"/>
  <c r="B20"/>
  <c r="B23"/>
  <c r="G20"/>
  <c r="B16"/>
  <c r="B15"/>
  <c r="I3"/>
  <c r="B26"/>
  <c r="B30"/>
  <c r="E8"/>
  <c r="D26"/>
  <c r="D30"/>
  <c r="E9"/>
  <c r="J3"/>
  <c r="B13"/>
  <c r="A26"/>
  <c r="C26"/>
  <c r="E26"/>
  <c r="E7"/>
  <c r="A30"/>
  <c r="B10"/>
  <c r="C30"/>
  <c r="B11"/>
  <c r="E30"/>
  <c r="B8"/>
  <c r="D20"/>
  <c r="E6"/>
  <c r="B7"/>
  <c r="C20"/>
  <c r="B12"/>
  <c r="B6"/>
  <c r="E5"/>
  <c r="B9"/>
  <c r="E10"/>
  <c r="B14"/>
  <c r="B5"/>
  <c r="B4"/>
  <c r="D3"/>
  <c r="A20"/>
  <c r="E4"/>
  <c r="G3"/>
  <c r="H3"/>
  <c r="I4" i="14"/>
  <c r="K4"/>
  <c r="I5"/>
  <c r="K5"/>
  <c r="I6"/>
  <c r="K6"/>
  <c r="I7"/>
  <c r="K7"/>
  <c r="I8"/>
  <c r="K8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1"/>
  <c r="I22"/>
  <c r="K22"/>
  <c r="I23"/>
  <c r="K23"/>
  <c r="I24"/>
  <c r="K24"/>
  <c r="I25"/>
  <c r="K25"/>
  <c r="I26"/>
  <c r="K26"/>
  <c r="I27"/>
  <c r="K27"/>
  <c r="I28"/>
  <c r="K28"/>
  <c r="I29"/>
  <c r="K29"/>
  <c r="I30"/>
  <c r="K30"/>
  <c r="I31"/>
  <c r="K31"/>
  <c r="I32"/>
  <c r="K32"/>
  <c r="I33"/>
  <c r="K33"/>
  <c r="I34"/>
  <c r="K34"/>
  <c r="I35"/>
  <c r="K35"/>
  <c r="I36"/>
  <c r="K36"/>
  <c r="I37"/>
  <c r="K37"/>
  <c r="I38"/>
  <c r="K38"/>
  <c r="I39"/>
  <c r="K39"/>
  <c r="I40"/>
  <c r="K40"/>
  <c r="I41"/>
  <c r="K41"/>
  <c r="I42"/>
  <c r="K42"/>
  <c r="I43"/>
  <c r="K43"/>
  <c r="I44"/>
  <c r="K44"/>
  <c r="I45"/>
  <c r="K45"/>
  <c r="I46"/>
  <c r="K46"/>
  <c r="I47"/>
  <c r="K47"/>
  <c r="I48"/>
  <c r="K48"/>
  <c r="M4"/>
  <c r="O4"/>
  <c r="L4"/>
  <c r="N4"/>
  <c r="G21"/>
  <c r="H48"/>
  <c r="H47"/>
  <c r="G19"/>
  <c r="H46"/>
  <c r="H45"/>
  <c r="H44"/>
  <c r="G48"/>
  <c r="G47"/>
  <c r="G46"/>
  <c r="G45"/>
  <c r="G44"/>
  <c r="G16"/>
  <c r="H43"/>
  <c r="H42"/>
  <c r="G14"/>
  <c r="H41"/>
  <c r="H40"/>
  <c r="H39"/>
  <c r="G43"/>
  <c r="G42"/>
  <c r="G41"/>
  <c r="G40"/>
  <c r="G39"/>
  <c r="G11"/>
  <c r="H38"/>
  <c r="H37"/>
  <c r="G9"/>
  <c r="H36"/>
  <c r="H35"/>
  <c r="H34"/>
  <c r="G38"/>
  <c r="G37"/>
  <c r="G36"/>
  <c r="G35"/>
  <c r="G34"/>
  <c r="D51"/>
  <c r="E51"/>
  <c r="G32"/>
  <c r="G33"/>
  <c r="G4"/>
  <c r="G5"/>
  <c r="G6"/>
  <c r="G7"/>
  <c r="G8"/>
  <c r="G10"/>
  <c r="G12"/>
  <c r="G13"/>
  <c r="G15"/>
  <c r="G17"/>
  <c r="G18"/>
  <c r="G20"/>
  <c r="G22"/>
  <c r="G23"/>
  <c r="G24"/>
  <c r="G25"/>
  <c r="G26"/>
  <c r="G27"/>
  <c r="G28"/>
  <c r="G29"/>
  <c r="G30"/>
  <c r="G31"/>
  <c r="G5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5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D3" i="10"/>
  <c r="F3"/>
  <c r="D4"/>
  <c r="F4"/>
  <c r="D5"/>
  <c r="F5"/>
  <c r="D6"/>
  <c r="F6"/>
  <c r="D7"/>
  <c r="F7"/>
  <c r="D8"/>
  <c r="F8"/>
  <c r="D9"/>
  <c r="F9"/>
  <c r="D10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D22"/>
  <c r="F22"/>
  <c r="H3"/>
  <c r="J3"/>
  <c r="D24"/>
  <c r="C24"/>
  <c r="G3"/>
  <c r="I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</calcChain>
</file>

<file path=xl/sharedStrings.xml><?xml version="1.0" encoding="utf-8"?>
<sst xmlns="http://schemas.openxmlformats.org/spreadsheetml/2006/main" count="933" uniqueCount="455">
  <si>
    <t>Govt Food Imports Costs</t>
    <phoneticPr fontId="1" type="noConversion"/>
  </si>
  <si>
    <t>Govt Water Imports Costs</t>
    <phoneticPr fontId="1" type="noConversion"/>
  </si>
  <si>
    <t>Total Govt Import Costs</t>
    <phoneticPr fontId="1" type="noConversion"/>
  </si>
  <si>
    <t>Govt Water Imports</t>
    <phoneticPr fontId="1" type="noConversion"/>
  </si>
  <si>
    <t>Govt Food Imports</t>
    <phoneticPr fontId="1" type="noConversion"/>
  </si>
  <si>
    <t>Food Imports in Lbs</t>
    <phoneticPr fontId="1" type="noConversion"/>
  </si>
  <si>
    <t>Water Imports in Gal.</t>
    <phoneticPr fontId="1" type="noConversion"/>
  </si>
  <si>
    <t>SSC Rebates</t>
    <phoneticPr fontId="1" type="noConversion"/>
  </si>
  <si>
    <t>Rebate from Sullust</t>
    <phoneticPr fontId="1" type="noConversion"/>
  </si>
  <si>
    <t>GNP</t>
    <phoneticPr fontId="1" type="noConversion"/>
  </si>
  <si>
    <t># Months</t>
    <phoneticPr fontId="1" type="noConversion"/>
  </si>
  <si>
    <t>Customs</t>
    <phoneticPr fontId="15" type="noConversion"/>
  </si>
  <si>
    <t>Army Daily $$</t>
    <phoneticPr fontId="15" type="noConversion"/>
  </si>
  <si>
    <t>Army</t>
    <phoneticPr fontId="15" type="noConversion"/>
  </si>
  <si>
    <t>Navy</t>
    <phoneticPr fontId="15" type="noConversion"/>
  </si>
  <si>
    <t>Navy Daily $$</t>
    <phoneticPr fontId="15" type="noConversion"/>
  </si>
  <si>
    <t>SF Corp Daily $$</t>
    <phoneticPr fontId="15" type="noConversion"/>
  </si>
  <si>
    <t>Civil Service Daily $$</t>
    <phoneticPr fontId="15" type="noConversion"/>
  </si>
  <si>
    <t>Customs Daily $$</t>
    <phoneticPr fontId="15" type="noConversion"/>
  </si>
  <si>
    <t>Diplomatic Corp</t>
    <phoneticPr fontId="15" type="noConversion"/>
  </si>
  <si>
    <t>Dilomatic Corp Daily $$</t>
    <phoneticPr fontId="15" type="noConversion"/>
  </si>
  <si>
    <t>Total</t>
    <phoneticPr fontId="1" type="noConversion"/>
  </si>
  <si>
    <t>Total</t>
    <phoneticPr fontId="1" type="noConversion"/>
  </si>
  <si>
    <t xml:space="preserve"> # of Employees</t>
  </si>
  <si>
    <t xml:space="preserve"> Daily Salaries</t>
  </si>
  <si>
    <t xml:space="preserve"> Daily Cost to Date</t>
  </si>
  <si>
    <t>Factories</t>
    <phoneticPr fontId="15" type="noConversion"/>
  </si>
  <si>
    <t>Shipyards</t>
    <phoneticPr fontId="15" type="noConversion"/>
  </si>
  <si>
    <t>Warehouses</t>
    <phoneticPr fontId="15" type="noConversion"/>
  </si>
  <si>
    <t>Misc</t>
    <phoneticPr fontId="15" type="noConversion"/>
  </si>
  <si>
    <t>Factories Daily $$</t>
    <phoneticPr fontId="15" type="noConversion"/>
  </si>
  <si>
    <t xml:space="preserve"> Shipyards Daily $$</t>
    <phoneticPr fontId="15" type="noConversion"/>
  </si>
  <si>
    <t>Warehouses Daily $$</t>
    <phoneticPr fontId="15" type="noConversion"/>
  </si>
  <si>
    <t>Misc Daily $$</t>
    <phoneticPr fontId="15" type="noConversion"/>
  </si>
  <si>
    <t>Misc NPC Salaries</t>
    <phoneticPr fontId="1" type="noConversion"/>
  </si>
  <si>
    <t>SSC Work Program</t>
    <phoneticPr fontId="1" type="noConversion"/>
  </si>
  <si>
    <t>Annual NPC Sales</t>
    <phoneticPr fontId="1" type="noConversion"/>
  </si>
  <si>
    <t>Sullust Population</t>
  </si>
  <si>
    <t>Sullust Population</t>
    <phoneticPr fontId="15" type="noConversion"/>
  </si>
  <si>
    <t>Fire Daily $$</t>
    <phoneticPr fontId="15" type="noConversion"/>
  </si>
  <si>
    <t>Education Daily $$</t>
    <phoneticPr fontId="15" type="noConversion"/>
  </si>
  <si>
    <t>NPC Salaries</t>
    <phoneticPr fontId="1" type="noConversion"/>
  </si>
  <si>
    <t>Months</t>
    <phoneticPr fontId="1" type="noConversion"/>
  </si>
  <si>
    <t>NPC SSC Sales</t>
    <phoneticPr fontId="1" type="noConversion"/>
  </si>
  <si>
    <t>Monthly Planet Tax</t>
    <phoneticPr fontId="1" type="noConversion"/>
  </si>
  <si>
    <t>Misc Govt Expenses</t>
    <phoneticPr fontId="1" type="noConversion"/>
  </si>
  <si>
    <t>GNP</t>
    <phoneticPr fontId="1" type="noConversion"/>
  </si>
  <si>
    <t>GNP Sales Tax</t>
    <phoneticPr fontId="1" type="noConversion"/>
  </si>
  <si>
    <t>Misc Fees</t>
    <phoneticPr fontId="1" type="noConversion"/>
  </si>
  <si>
    <t>Population</t>
    <phoneticPr fontId="1" type="noConversion"/>
  </si>
  <si>
    <t>SF Corp</t>
    <phoneticPr fontId="15" type="noConversion"/>
  </si>
  <si>
    <t>Inventory Costs</t>
  </si>
  <si>
    <t>Income</t>
  </si>
  <si>
    <t>Type of Income</t>
  </si>
  <si>
    <t>Sum Expenses</t>
  </si>
  <si>
    <t>Sum Income</t>
  </si>
  <si>
    <t>$$ Spent Per Day</t>
  </si>
  <si>
    <t>SSC Order</t>
  </si>
  <si>
    <t>PC Salaries</t>
  </si>
  <si>
    <t>Salaries 7/9/05</t>
  </si>
  <si>
    <t>Char Name</t>
  </si>
  <si>
    <t>AIM</t>
  </si>
  <si>
    <t>E-mail</t>
  </si>
  <si>
    <t>Species</t>
  </si>
  <si>
    <t>Salary</t>
  </si>
  <si>
    <t>rb0t2004</t>
  </si>
  <si>
    <t>rajzarraoub@swngs.com</t>
  </si>
  <si>
    <t>Sullustan</t>
  </si>
  <si>
    <t>CEO</t>
  </si>
  <si>
    <t>Last Paid</t>
  </si>
  <si>
    <t># Months</t>
  </si>
  <si>
    <t>Consul to Coruscant</t>
  </si>
  <si>
    <t>Consul to Corellia</t>
  </si>
  <si>
    <t>Consul to Alderaan</t>
  </si>
  <si>
    <t>S&amp;H</t>
  </si>
  <si>
    <t>Darex McKnight</t>
  </si>
  <si>
    <t>DarexMcKnight@aim.com</t>
  </si>
  <si>
    <t>Bothan</t>
  </si>
  <si>
    <t>Security Officer Private</t>
  </si>
  <si>
    <t>Bonus</t>
  </si>
  <si>
    <t>Silas Shysa</t>
  </si>
  <si>
    <t>mndlrnjd</t>
  </si>
  <si>
    <t>presbyguy12@aol.com</t>
  </si>
  <si>
    <t>SSC-DBAP-001 thru SSC-DBAP-003</t>
    <phoneticPr fontId="1" type="noConversion"/>
  </si>
  <si>
    <t>SSC-DBAP-004 thru SSC-DBAP-0051</t>
    <phoneticPr fontId="1" type="noConversion"/>
  </si>
  <si>
    <t>Police</t>
    <phoneticPr fontId="15" type="noConversion"/>
  </si>
  <si>
    <t>Police Daily $$</t>
    <phoneticPr fontId="15" type="noConversion"/>
  </si>
  <si>
    <t>Police Force</t>
    <phoneticPr fontId="15" type="noConversion"/>
  </si>
  <si>
    <t>Police Droids</t>
    <phoneticPr fontId="15" type="noConversion"/>
  </si>
  <si>
    <t>Police People</t>
    <phoneticPr fontId="15" type="noConversion"/>
  </si>
  <si>
    <t>SSC Police Droid Purchase</t>
    <phoneticPr fontId="1" type="noConversion"/>
  </si>
  <si>
    <t>Police Droid Order from Sullust</t>
    <phoneticPr fontId="1" type="noConversion"/>
  </si>
  <si>
    <t># Years</t>
    <phoneticPr fontId="1" type="noConversion"/>
  </si>
  <si>
    <t>Small</t>
    <phoneticPr fontId="1" type="noConversion"/>
  </si>
  <si>
    <t>Medium</t>
    <phoneticPr fontId="1" type="noConversion"/>
  </si>
  <si>
    <t>Medium</t>
    <phoneticPr fontId="1" type="noConversion"/>
  </si>
  <si>
    <t>Large</t>
    <phoneticPr fontId="1" type="noConversion"/>
  </si>
  <si>
    <t>Super</t>
    <phoneticPr fontId="1" type="noConversion"/>
  </si>
  <si>
    <t>Super</t>
    <phoneticPr fontId="1" type="noConversion"/>
  </si>
  <si>
    <t>Gigantic</t>
    <phoneticPr fontId="1" type="noConversion"/>
  </si>
  <si>
    <t>Gigantic</t>
    <phoneticPr fontId="1" type="noConversion"/>
  </si>
  <si>
    <t>Gigantic</t>
    <phoneticPr fontId="1" type="noConversion"/>
  </si>
  <si>
    <t>Gigantic</t>
    <phoneticPr fontId="1" type="noConversion"/>
  </si>
  <si>
    <t>Police Droids</t>
    <phoneticPr fontId="1" type="noConversion"/>
  </si>
  <si>
    <t>Gigantic</t>
    <phoneticPr fontId="1" type="noConversion"/>
  </si>
  <si>
    <t>Total Cost to Date</t>
    <phoneticPr fontId="1" type="noConversion"/>
  </si>
  <si>
    <t>Total Cost to Date</t>
    <phoneticPr fontId="1" type="noConversion"/>
  </si>
  <si>
    <t>% Private Industry Jobs</t>
    <phoneticPr fontId="15" type="noConversion"/>
  </si>
  <si>
    <t>% SSC Jobs</t>
    <phoneticPr fontId="15" type="noConversion"/>
  </si>
  <si>
    <t>% Unemployed</t>
    <phoneticPr fontId="15" type="noConversion"/>
  </si>
  <si>
    <t>% Empire Jobs</t>
    <phoneticPr fontId="15" type="noConversion"/>
  </si>
  <si>
    <t>Seraph Landspeeders</t>
  </si>
  <si>
    <t>12-4c-41 Traffic Controller Droids</t>
  </si>
  <si>
    <t>501-Z Police Droids</t>
  </si>
  <si>
    <t>C1 Comlinks</t>
  </si>
  <si>
    <t>Imagecasters</t>
  </si>
  <si>
    <t>Hologram Projection Pods</t>
  </si>
  <si>
    <t>X-80 High Resolution Video Monitors</t>
  </si>
  <si>
    <t>Memory Droids</t>
  </si>
  <si>
    <t>RIP-17 AutoChefs</t>
  </si>
  <si>
    <t>CS12 Stun Masters</t>
  </si>
  <si>
    <t>Kylan-3 Blaster Pistols</t>
  </si>
  <si>
    <t>Laserhone Vibro Rapiers</t>
  </si>
  <si>
    <t>Quicksnap 36T Blaster Carbines</t>
  </si>
  <si>
    <t>X-45 Sniper Rifles</t>
  </si>
  <si>
    <t>Blaster Energy Packs</t>
  </si>
  <si>
    <t>Stun Energy Packs</t>
  </si>
  <si>
    <t>Vibro Energy Packs</t>
  </si>
  <si>
    <t>Concussion Missile Packs</t>
  </si>
  <si>
    <t>Proton Torpedo Packs</t>
  </si>
  <si>
    <t>Permits</t>
  </si>
  <si>
    <t>SSC-QFBC-001</t>
  </si>
  <si>
    <t>SSC-PCS-001 thru SSC-PCS-0024</t>
  </si>
  <si>
    <t>SSC-CCC-001 thru SSC-CCC-002</t>
  </si>
  <si>
    <t>SSC-NLF-001 thru SSC-NFL-006</t>
  </si>
  <si>
    <t>SSC-PLY3k-001</t>
  </si>
  <si>
    <t>SSC-V19G-001 thru SSC-V19G-006</t>
  </si>
  <si>
    <t>SSC-Seraph-001 thru SSC-Seraph-006</t>
  </si>
  <si>
    <t>Imperial Membership</t>
    <phoneticPr fontId="1" type="noConversion"/>
  </si>
  <si>
    <t>Food Imports</t>
    <phoneticPr fontId="1" type="noConversion"/>
  </si>
  <si>
    <t>Water Imports</t>
    <phoneticPr fontId="1" type="noConversion"/>
  </si>
  <si>
    <t>Tariffs</t>
    <phoneticPr fontId="1" type="noConversion"/>
  </si>
  <si>
    <t>Lbs of Foods</t>
    <phoneticPr fontId="1" type="noConversion"/>
  </si>
  <si>
    <t>Water Imports</t>
    <phoneticPr fontId="1" type="noConversion"/>
  </si>
  <si>
    <t>Gallons of Water</t>
    <phoneticPr fontId="1" type="noConversion"/>
  </si>
  <si>
    <t>Tariffs</t>
    <phoneticPr fontId="1" type="noConversion"/>
  </si>
  <si>
    <t>SSC-X80-001 thru SSX-X80-00100</t>
  </si>
  <si>
    <t>SSC-MEMD-001 thru SSX-MEMD-0010</t>
  </si>
  <si>
    <t>SSS-RIP17-001 thru SSC-RIP17-002</t>
  </si>
  <si>
    <t>SSC-XP38-001</t>
  </si>
  <si>
    <t>SSC-WLZ-001</t>
  </si>
  <si>
    <t>SSC-BMC150-00100 thru SSC-BMC150-00100</t>
  </si>
  <si>
    <t>SSC-CS12-001 thru SSC-CS12-0050</t>
  </si>
  <si>
    <t>SSC Work Program from Sullust</t>
    <phoneticPr fontId="1" type="noConversion"/>
  </si>
  <si>
    <t>Total Employed</t>
    <phoneticPr fontId="15" type="noConversion"/>
  </si>
  <si>
    <t>Unemployed</t>
    <phoneticPr fontId="15" type="noConversion"/>
  </si>
  <si>
    <t>% Unemployed</t>
    <phoneticPr fontId="15" type="noConversion"/>
  </si>
  <si>
    <t>% Employed</t>
    <phoneticPr fontId="15" type="noConversion"/>
  </si>
  <si>
    <t>% Employed</t>
    <phoneticPr fontId="15" type="noConversion"/>
  </si>
  <si>
    <t>% Unemployed</t>
    <phoneticPr fontId="15" type="noConversion"/>
  </si>
  <si>
    <t>Non Govt Jobs</t>
    <phoneticPr fontId="15" type="noConversion"/>
  </si>
  <si>
    <t>SSC Jobs</t>
    <phoneticPr fontId="15" type="noConversion"/>
  </si>
  <si>
    <t>Govt Jobs</t>
    <phoneticPr fontId="15" type="noConversion"/>
  </si>
  <si>
    <t>Private Industry Jobs</t>
    <phoneticPr fontId="15" type="noConversion"/>
  </si>
  <si>
    <t>SSC Jobs</t>
    <phoneticPr fontId="15" type="noConversion"/>
  </si>
  <si>
    <t>Empire Jobs</t>
    <phoneticPr fontId="15" type="noConversion"/>
  </si>
  <si>
    <t>% Govt Jobs</t>
    <phoneticPr fontId="15" type="noConversion"/>
  </si>
  <si>
    <t>NPC Cruiser Sales</t>
    <phoneticPr fontId="1" type="noConversion"/>
  </si>
  <si>
    <t>NPC Sales Packs</t>
    <phoneticPr fontId="1" type="noConversion"/>
  </si>
  <si>
    <t>NPC Sales Income</t>
    <phoneticPr fontId="1" type="noConversion"/>
  </si>
  <si>
    <t>Total NPC Sales</t>
    <phoneticPr fontId="1" type="noConversion"/>
  </si>
  <si>
    <t>SSC Tax</t>
    <phoneticPr fontId="1" type="noConversion"/>
  </si>
  <si>
    <t>Tax to Sullust</t>
    <phoneticPr fontId="1" type="noConversion"/>
  </si>
  <si>
    <t>Expenses</t>
  </si>
  <si>
    <t>Current Value</t>
  </si>
  <si>
    <t>Type of Expense</t>
  </si>
  <si>
    <t>Sullust</t>
    <phoneticPr fontId="1" type="noConversion"/>
  </si>
  <si>
    <t>Inventory Costs</t>
    <phoneticPr fontId="1" type="noConversion"/>
  </si>
  <si>
    <t>Total Cost to Build</t>
    <phoneticPr fontId="1" type="noConversion"/>
  </si>
  <si>
    <t>Total Cost to Build</t>
    <phoneticPr fontId="1" type="noConversion"/>
  </si>
  <si>
    <t>Fire</t>
    <phoneticPr fontId="15" type="noConversion"/>
  </si>
  <si>
    <t>Education</t>
    <phoneticPr fontId="15" type="noConversion"/>
  </si>
  <si>
    <t>Civil Service</t>
    <phoneticPr fontId="15" type="noConversion"/>
  </si>
  <si>
    <t>Resource Recon Landspeeder</t>
  </si>
  <si>
    <t>V-19 Gian Landspeeder</t>
  </si>
  <si>
    <t>V-35 Courier Landspeeder</t>
  </si>
  <si>
    <t>WLZ-101 Ground Coach</t>
  </si>
  <si>
    <t>XP-291 Waterskimmer</t>
  </si>
  <si>
    <t>XP-32-1 Landspeeder</t>
  </si>
  <si>
    <t>XP-34 Landspeeder</t>
  </si>
  <si>
    <t>XP-35 Landspeeder</t>
  </si>
  <si>
    <t>XP-37 Landspeeder</t>
  </si>
  <si>
    <t>XP-38 Sport Landspeeder</t>
  </si>
  <si>
    <t>Vibro</t>
  </si>
  <si>
    <t>BD-1 Cutter VibroAxe</t>
  </si>
  <si>
    <t>BiPolar Blaster BMC-150 Blaster Carbine</t>
  </si>
  <si>
    <t>Blaster</t>
  </si>
  <si>
    <t>Controller Force Pike</t>
  </si>
  <si>
    <t>CS-12 Stun Master</t>
  </si>
  <si>
    <t>Stun</t>
  </si>
  <si>
    <t>ELG-3A "Diplomat's Blaster" Pistol</t>
  </si>
  <si>
    <t>Equalizer Shoulder Mounted Ion Cannon</t>
  </si>
  <si>
    <t>Ion</t>
  </si>
  <si>
    <t>Fireball Mini-missile Launcher</t>
  </si>
  <si>
    <t>Projectile</t>
  </si>
  <si>
    <t>Firestorm 1 Mini-Missile Launcher</t>
  </si>
  <si>
    <t>GLX Firelance Blaster Rifle</t>
  </si>
  <si>
    <t>Heavy Tracker 16 Blaster Rifle</t>
  </si>
  <si>
    <t>Kylan 3 Blaster Pistol</t>
  </si>
  <si>
    <t>Laserhone Vibro Rapier</t>
  </si>
  <si>
    <t>Paid So Far</t>
  </si>
  <si>
    <t>Total for Salaries</t>
  </si>
  <si>
    <t>Rasti Raoub</t>
  </si>
  <si>
    <t>cwforums</t>
  </si>
  <si>
    <t>sullust@blee.biz</t>
  </si>
  <si>
    <t>Have</t>
  </si>
  <si>
    <t>Still Need</t>
  </si>
  <si>
    <t>Qty</t>
  </si>
  <si>
    <t>Ggruub Nyuub</t>
  </si>
  <si>
    <t>Hbubaba Suuv</t>
  </si>
  <si>
    <t>Arick Rolanputural III</t>
  </si>
  <si>
    <t>arickrola</t>
  </si>
  <si>
    <t>Hutt</t>
  </si>
  <si>
    <t>Stormtrooper Two Blaster Carbine</t>
  </si>
  <si>
    <t>Stormtrooper Two Blaster Rifle</t>
  </si>
  <si>
    <t>Stormtrooper Three Heavy Blaster Rifle</t>
  </si>
  <si>
    <t>TTT-54 "Thumper" Grenade Launcher</t>
  </si>
  <si>
    <t>X-30 "Lancer" Target Blast Rifle</t>
  </si>
  <si>
    <t>X-45 Sniper Rifle</t>
  </si>
  <si>
    <t>XG Anti-Gravity Field Mine</t>
  </si>
  <si>
    <t>Mine</t>
  </si>
  <si>
    <t>Human</t>
  </si>
  <si>
    <t>Everything Else #</t>
  </si>
  <si>
    <t>Cruiser #</t>
  </si>
  <si>
    <t>Corran Omen</t>
  </si>
  <si>
    <t>Coruscant</t>
  </si>
  <si>
    <t>Empire</t>
  </si>
  <si>
    <t>Commander</t>
  </si>
  <si>
    <t>DH-77 Comlink</t>
  </si>
  <si>
    <t>Journeyman Tool Kits</t>
  </si>
  <si>
    <t>Himself</t>
  </si>
  <si>
    <t>Horizon-class Yacht</t>
  </si>
  <si>
    <t>SSC-BEP-00101 thru SSC-BEP-00126</t>
  </si>
  <si>
    <t>Imp</t>
  </si>
  <si>
    <t>SSC-C1-00101 thru SSC-C1-00151</t>
  </si>
  <si>
    <t>SSC-DH77-001 thru SSC-DH77-0025</t>
  </si>
  <si>
    <t>SSC-ST1-001 thru SSC-ST1-0025</t>
  </si>
  <si>
    <t>SSC-JTK-001 thru SSC-JTK-0025</t>
  </si>
  <si>
    <t>SSC-HORY-001</t>
  </si>
  <si>
    <t>Sullust 7/11</t>
  </si>
  <si>
    <t>Empire 7/15</t>
  </si>
  <si>
    <t>Supra 7/15</t>
  </si>
  <si>
    <t>Mini-Missile Pack (10 missiles)</t>
  </si>
  <si>
    <t>Daily Cost to Date</t>
    <phoneticPr fontId="1" type="noConversion"/>
  </si>
  <si>
    <t>Sullust</t>
  </si>
  <si>
    <t>Chairman</t>
  </si>
  <si>
    <t>Quasar-Fire Bulk Cruiser</t>
  </si>
  <si>
    <t>Daily Cost to Date</t>
    <phoneticPr fontId="1" type="noConversion"/>
  </si>
  <si>
    <t>NPC Sales</t>
    <phoneticPr fontId="1" type="noConversion"/>
  </si>
  <si>
    <t>NPC Sales Armor</t>
    <phoneticPr fontId="1" type="noConversion"/>
  </si>
  <si>
    <t>NPC Sales All Else</t>
    <phoneticPr fontId="1" type="noConversion"/>
  </si>
  <si>
    <t>Nesst-class Light Freighters</t>
  </si>
  <si>
    <t>V-19 Gian Landspeeders</t>
  </si>
  <si>
    <t>Build Time</t>
  </si>
  <si>
    <t>Work Day</t>
  </si>
  <si>
    <t>Qty Built</t>
  </si>
  <si>
    <t>Grand Total</t>
  </si>
  <si>
    <t>Qty Sold</t>
  </si>
  <si>
    <t>Qty in Stock</t>
  </si>
  <si>
    <t>SSC Inventory</t>
  </si>
  <si>
    <t>See Sales File for Who Bought What</t>
  </si>
  <si>
    <t>Item Type</t>
  </si>
  <si>
    <t>Armor</t>
  </si>
  <si>
    <t>Profit</t>
  </si>
  <si>
    <t># of Days</t>
  </si>
  <si>
    <t>Day Placeholder</t>
  </si>
  <si>
    <t>Motion Interface Package A</t>
  </si>
  <si>
    <t>Bionics</t>
  </si>
  <si>
    <t>Motion Interface Package B</t>
  </si>
  <si>
    <t>Motion Interface Package C</t>
  </si>
  <si>
    <t>SSIC-S4.2 Internal Comlink</t>
  </si>
  <si>
    <t>Synthax-7 Voice Synthesizer</t>
  </si>
  <si>
    <t>1010 Cargo Restraint Netting</t>
  </si>
  <si>
    <t>Device</t>
  </si>
  <si>
    <t>C1 Personal Comlink</t>
  </si>
  <si>
    <t>CLD-50 Cryo-Case</t>
  </si>
  <si>
    <t>DH-77 Personal Comlink</t>
  </si>
  <si>
    <t>F-187 Fusion Cutter</t>
  </si>
  <si>
    <t>Heat Sensor</t>
  </si>
  <si>
    <t>Hologram Projection Pod</t>
  </si>
  <si>
    <t>HT-50 Heated Crate</t>
  </si>
  <si>
    <t>Hush-98 Comlink</t>
  </si>
  <si>
    <t>Imagecaster Comlink</t>
  </si>
  <si>
    <t>Journeyman Tool Kit</t>
  </si>
  <si>
    <t>Marker Sign</t>
  </si>
  <si>
    <t>SSC-TCD-001 thru SSC-TCD-0050</t>
  </si>
  <si>
    <t>SSC-Zed-001 thru SSC-Zed-0050</t>
  </si>
  <si>
    <t>SSC-C1-001 thru SSC-C1-00100</t>
  </si>
  <si>
    <t>SSC-Image-001 thru SSC-Image-00100</t>
  </si>
  <si>
    <t>SSC-HPP-001 thru SSC-HPP-0010</t>
  </si>
  <si>
    <t>SSC-SSC-001 thru SSC-SSC-0050</t>
  </si>
  <si>
    <t>12-4c-41 Traffic Controller Droid</t>
  </si>
  <si>
    <t>501-Z Police Droid</t>
  </si>
  <si>
    <t>Memory Droid</t>
  </si>
  <si>
    <t>RIP-17 AutoChef</t>
  </si>
  <si>
    <t>Wanderer Series Scout Survey Droid</t>
  </si>
  <si>
    <t>Transport</t>
  </si>
  <si>
    <t>Starfighter</t>
  </si>
  <si>
    <t>1550-LEX Space Yacht</t>
  </si>
  <si>
    <t>B'zabuu-Class Transport</t>
  </si>
  <si>
    <t>Corsair-Class Cruiser</t>
  </si>
  <si>
    <t>Ferryboat Liner</t>
  </si>
  <si>
    <t>Gun Tug</t>
  </si>
  <si>
    <t>G-59 Cannibilizer</t>
  </si>
  <si>
    <t>SSC-K3-001 thru SSC-K3-00100</t>
  </si>
  <si>
    <t>SSC-LVR-001 thru SSC-LVR-00100</t>
  </si>
  <si>
    <t>SSC-36T-001 thru SSC-36T-00100</t>
  </si>
  <si>
    <t>SSC-X45-001 thru SSC-X45-005</t>
  </si>
  <si>
    <t>SSC-BEP-001 thru SSC-BEP-00100</t>
  </si>
  <si>
    <t>SSC-SEP-001 thru SSC-SEP-00100</t>
  </si>
  <si>
    <t>SSC-VEP-001 thru SSC-VEP-00100</t>
  </si>
  <si>
    <t>SSC-CMP-001 thru SSC-CMP-00100</t>
  </si>
  <si>
    <t>SSC-PTP-001 thru SSC-PTP-00100</t>
  </si>
  <si>
    <t>N/A</t>
  </si>
  <si>
    <t>Name</t>
  </si>
  <si>
    <t>Type</t>
  </si>
  <si>
    <t># Lines</t>
  </si>
  <si>
    <t>Making ?</t>
  </si>
  <si>
    <t># of Employees</t>
  </si>
  <si>
    <t>Cost to Build</t>
  </si>
  <si>
    <t>Daily Costs</t>
  </si>
  <si>
    <t>Small</t>
  </si>
  <si>
    <t>Daily Salaries</t>
  </si>
  <si>
    <t>Days</t>
  </si>
  <si>
    <t>Medium</t>
  </si>
  <si>
    <t>Small Ships</t>
  </si>
  <si>
    <t>Med. Ships</t>
  </si>
  <si>
    <t>Starting Budget</t>
  </si>
  <si>
    <t>HS-14 Hoverskiff</t>
  </si>
  <si>
    <t>JG-8 Luxury Speeder</t>
  </si>
  <si>
    <t>LiteVan IV</t>
  </si>
  <si>
    <t>Shipyards Salaries</t>
  </si>
  <si>
    <t>Warehouses Salaries</t>
  </si>
  <si>
    <t>Factories Salaries</t>
  </si>
  <si>
    <t>Tx37 Landspeeder</t>
  </si>
  <si>
    <t>Seraph Landspeeder</t>
  </si>
  <si>
    <r>
      <t>Horizon</t>
    </r>
    <r>
      <rPr>
        <sz val="10"/>
        <rFont val="Arial"/>
      </rPr>
      <t>-class Yacht</t>
    </r>
  </si>
  <si>
    <t>Jermagium Class Cruiser</t>
  </si>
  <si>
    <t>Light Transport</t>
  </si>
  <si>
    <t>Luxury Cruiser 200</t>
  </si>
  <si>
    <t>Luxury Cruiser Ambassador Class Shuttle</t>
  </si>
  <si>
    <t>Luxury Yacht 2800</t>
  </si>
  <si>
    <t>Nella-342 Light Freighter</t>
  </si>
  <si>
    <t>Nesst-class Light Freighter</t>
  </si>
  <si>
    <t>Nyubba-Class Cargo Barge Driver</t>
  </si>
  <si>
    <t>Nyabn Cargo Barge Module</t>
  </si>
  <si>
    <t>Planetary Fighter</t>
  </si>
  <si>
    <t>PLY 3000 Personal Luxury Yacht</t>
  </si>
  <si>
    <t>PLY 5000</t>
  </si>
  <si>
    <t>Preybird-Class Starfighter</t>
  </si>
  <si>
    <t>Quasar Fire-class Bulk Cruiser</t>
  </si>
  <si>
    <t>Sprint Class Rescue Craft</t>
  </si>
  <si>
    <t>Starmite Class Freighter</t>
  </si>
  <si>
    <t>Cruiser</t>
  </si>
  <si>
    <t>HL-38 Armored Hovervan</t>
  </si>
  <si>
    <t>Repulsor</t>
  </si>
  <si>
    <t>Planet Food Sales</t>
    <phoneticPr fontId="1" type="noConversion"/>
  </si>
  <si>
    <t>Planet Water Sales</t>
    <phoneticPr fontId="1" type="noConversion"/>
  </si>
  <si>
    <t>Utilities (Power Plants)</t>
    <phoneticPr fontId="15" type="noConversion"/>
  </si>
  <si>
    <t>Megawatts</t>
    <phoneticPr fontId="15" type="noConversion"/>
  </si>
  <si>
    <t>Power</t>
    <phoneticPr fontId="15" type="noConversion"/>
  </si>
  <si>
    <t>Quicksnap 36T Blaster Carbine</t>
  </si>
  <si>
    <t>"Renegade" Heavy Blaster Pistol</t>
  </si>
  <si>
    <t>S1BR Blaster Pistol</t>
  </si>
  <si>
    <t>S-5 Blaster Pistol</t>
  </si>
  <si>
    <t>SC-4 Blaster Pistol</t>
  </si>
  <si>
    <t>Seatrooper One Blaster Speargun</t>
  </si>
  <si>
    <t>Stormtrooper One Blaster Rifle</t>
  </si>
  <si>
    <t>SSC-C1-00100 thru SSC-C1-0025000</t>
    <phoneticPr fontId="1" type="noConversion"/>
  </si>
  <si>
    <t>SSC Order</t>
    <phoneticPr fontId="1" type="noConversion"/>
  </si>
  <si>
    <t>Ship Purchase from Sullust</t>
    <phoneticPr fontId="1" type="noConversion"/>
  </si>
  <si>
    <t>Comlink Purchase from Sullust</t>
    <phoneticPr fontId="1" type="noConversion"/>
  </si>
  <si>
    <t>New Monthly Tax</t>
    <phoneticPr fontId="1" type="noConversion"/>
  </si>
  <si>
    <t>Planet Taxes 1st 24 mo</t>
    <phoneticPr fontId="1" type="noConversion"/>
  </si>
  <si>
    <t>Months New</t>
    <phoneticPr fontId="1" type="noConversion"/>
  </si>
  <si>
    <t>Planet Taxes</t>
    <phoneticPr fontId="1" type="noConversion"/>
  </si>
  <si>
    <t>Geothermal</t>
    <phoneticPr fontId="15" type="noConversion"/>
  </si>
  <si>
    <t>Capacity</t>
    <phoneticPr fontId="15" type="noConversion"/>
  </si>
  <si>
    <t>Utilities Output Needed</t>
    <phoneticPr fontId="15" type="noConversion"/>
  </si>
  <si>
    <t>Industrial Power Needed</t>
    <phoneticPr fontId="15" type="noConversion"/>
  </si>
  <si>
    <t>SSC Power Needed</t>
    <phoneticPr fontId="15" type="noConversion"/>
  </si>
  <si>
    <t>Public Power Needed</t>
    <phoneticPr fontId="15" type="noConversion"/>
  </si>
  <si>
    <t>Power Provided</t>
    <phoneticPr fontId="15" type="noConversion"/>
  </si>
  <si>
    <t>Power Lacking</t>
    <phoneticPr fontId="15" type="noConversion"/>
  </si>
  <si>
    <t>Super</t>
    <phoneticPr fontId="15" type="noConversion"/>
  </si>
  <si>
    <t>Super</t>
    <phoneticPr fontId="15" type="noConversion"/>
  </si>
  <si>
    <t>Output/Day</t>
    <phoneticPr fontId="15" type="noConversion"/>
  </si>
  <si>
    <t>Total Output</t>
    <phoneticPr fontId="15" type="noConversion"/>
  </si>
  <si>
    <t>Super</t>
    <phoneticPr fontId="15" type="noConversion"/>
  </si>
  <si>
    <t>Super</t>
    <phoneticPr fontId="15" type="noConversion"/>
  </si>
  <si>
    <t>SSC Power Purchase</t>
    <phoneticPr fontId="1" type="noConversion"/>
  </si>
  <si>
    <t>Power Sales</t>
    <phoneticPr fontId="1" type="noConversion"/>
  </si>
  <si>
    <t>Gov't Power Needed</t>
    <phoneticPr fontId="15" type="noConversion"/>
  </si>
  <si>
    <t>Non Gov't Power</t>
    <phoneticPr fontId="15" type="noConversion"/>
  </si>
  <si>
    <t>Power Purchase from Sullust</t>
    <phoneticPr fontId="1" type="noConversion"/>
  </si>
  <si>
    <t>Blaster Energy Pack (25 shots)</t>
  </si>
  <si>
    <t>Ion Energy Pack (25 shots)</t>
  </si>
  <si>
    <t>Stun Energy Pack (10 stuns)</t>
  </si>
  <si>
    <t>Speargun Spears (10 spears)</t>
  </si>
  <si>
    <t>Vibro Energy Pack (1 day)</t>
  </si>
  <si>
    <t>Energy</t>
  </si>
  <si>
    <t>Total Profit</t>
  </si>
  <si>
    <t>Lines</t>
  </si>
  <si>
    <t>Total in Stock</t>
  </si>
  <si>
    <t>Dragon Battle Armor (Prototype)</t>
  </si>
  <si>
    <t>Concussion Missile Pack (10 missiles)</t>
  </si>
  <si>
    <t>Proton Torpedo Pack (10 torpedoes)</t>
  </si>
  <si>
    <t>Date</t>
  </si>
  <si>
    <t>Buyer</t>
  </si>
  <si>
    <t>Organization</t>
  </si>
  <si>
    <t>Position</t>
  </si>
  <si>
    <t>Item</t>
  </si>
  <si>
    <t>Quantity Bought</t>
  </si>
  <si>
    <t>Per Item Cost</t>
  </si>
  <si>
    <t>Cost</t>
  </si>
  <si>
    <t>Discount</t>
  </si>
  <si>
    <t>Total Cost</t>
  </si>
  <si>
    <t>PAID</t>
  </si>
  <si>
    <t>Planet</t>
  </si>
  <si>
    <t>Serial Number</t>
  </si>
  <si>
    <t>Armor # Below</t>
  </si>
  <si>
    <t>Rajzar Raoub</t>
  </si>
  <si>
    <t>LLS-3 Landspeeder</t>
  </si>
  <si>
    <t>OP-5 Landspeeder</t>
  </si>
  <si>
    <t>Preybird-Class Starfighters</t>
  </si>
  <si>
    <t>Corsair-Class Cruisers</t>
  </si>
  <si>
    <t>Item Name</t>
  </si>
  <si>
    <t>MSRP</t>
  </si>
  <si>
    <t>Production Cost</t>
  </si>
  <si>
    <t>Ferryboat # Below</t>
    <phoneticPr fontId="1" type="noConversion"/>
  </si>
  <si>
    <t>SSC-QFBC-002 thru SSC-QFBC-006</t>
    <phoneticPr fontId="1" type="noConversion"/>
  </si>
  <si>
    <t>Sullust</t>
    <phoneticPr fontId="1" type="noConversion"/>
  </si>
  <si>
    <t>SSC-LINER-001 thru SSC-LINER-0026</t>
    <phoneticPr fontId="1" type="noConversion"/>
  </si>
  <si>
    <t>SSC-PREY-001 thru SSC-PREY-00501</t>
    <phoneticPr fontId="1" type="noConversion"/>
  </si>
  <si>
    <t>SSC Order</t>
    <phoneticPr fontId="1" type="noConversion"/>
  </si>
  <si>
    <t>Sullust</t>
    <phoneticPr fontId="1" type="noConversion"/>
  </si>
  <si>
    <t>Pak-It Gear Bag</t>
  </si>
  <si>
    <t>Prybar 2800</t>
  </si>
  <si>
    <t>Red-Eye Laser Sighting Device</t>
  </si>
  <si>
    <t>SoroSuub Chew</t>
  </si>
  <si>
    <t>Tracker GPS</t>
  </si>
  <si>
    <t>True Site Scope</t>
  </si>
  <si>
    <t>Wanderer Space Chest</t>
  </si>
  <si>
    <t>X-80 High Resolution Video Monitor</t>
  </si>
  <si>
    <t>Droid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</si>
</sst>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64" formatCode="&quot;$&quot;#,##0"/>
    <numFmt numFmtId="165" formatCode="#,##0.0"/>
    <numFmt numFmtId="166" formatCode="&quot;$&quot;#,##0.0"/>
    <numFmt numFmtId="167" formatCode="&quot;$&quot;#,##0.00"/>
  </numFmts>
  <fonts count="16">
    <font>
      <sz val="10"/>
      <name val="Arial"/>
    </font>
    <font>
      <sz val="8"/>
      <name val="Arial"/>
    </font>
    <font>
      <b/>
      <u/>
      <sz val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u/>
      <sz val="10"/>
      <color indexed="12"/>
      <name val="Arial"/>
    </font>
    <font>
      <sz val="10"/>
      <name val="Arial"/>
    </font>
    <font>
      <i/>
      <sz val="10"/>
      <name val="Arial"/>
      <family val="2"/>
    </font>
    <font>
      <u/>
      <sz val="10"/>
      <name val="Arial"/>
    </font>
    <font>
      <u/>
      <sz val="14"/>
      <name val="Arial"/>
    </font>
    <font>
      <u/>
      <sz val="12"/>
      <name val="Arial"/>
    </font>
    <font>
      <u/>
      <sz val="11"/>
      <name val="Arial"/>
    </font>
    <font>
      <sz val="9"/>
      <name val="Arial"/>
    </font>
    <font>
      <sz val="11"/>
      <name val="Arial"/>
    </font>
    <font>
      <sz val="14"/>
      <name val="Arial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6" fillId="0" borderId="0" xfId="0" applyNumberFormat="1" applyFont="1"/>
    <xf numFmtId="166" fontId="6" fillId="0" borderId="0" xfId="0" applyNumberFormat="1" applyFont="1"/>
    <xf numFmtId="166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0" fillId="0" borderId="0" xfId="0" applyNumberFormat="1"/>
    <xf numFmtId="165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1" applyAlignment="1" applyProtection="1"/>
    <xf numFmtId="3" fontId="0" fillId="0" borderId="0" xfId="0" applyNumberFormat="1"/>
    <xf numFmtId="3" fontId="10" fillId="0" borderId="0" xfId="0" applyNumberFormat="1" applyFont="1" applyAlignment="1">
      <alignment horizontal="center"/>
    </xf>
    <xf numFmtId="0" fontId="0" fillId="0" borderId="0" xfId="0" applyNumberFormat="1"/>
    <xf numFmtId="0" fontId="10" fillId="0" borderId="0" xfId="0" applyNumberFormat="1" applyFont="1" applyAlignment="1">
      <alignment horizontal="center"/>
    </xf>
    <xf numFmtId="0" fontId="14" fillId="0" borderId="0" xfId="0" applyFont="1"/>
    <xf numFmtId="164" fontId="2" fillId="0" borderId="0" xfId="0" applyNumberFormat="1" applyFont="1" applyAlignment="1">
      <alignment horizontal="center"/>
    </xf>
    <xf numFmtId="164" fontId="6" fillId="0" borderId="0" xfId="0" applyNumberFormat="1" applyFont="1"/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6" fillId="0" borderId="0" xfId="0" applyNumberFormat="1" applyFont="1"/>
    <xf numFmtId="2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3" fontId="6" fillId="0" borderId="0" xfId="0" applyNumberFormat="1" applyFont="1"/>
    <xf numFmtId="167" fontId="6" fillId="0" borderId="0" xfId="0" applyNumberFormat="1" applyFont="1"/>
    <xf numFmtId="3" fontId="0" fillId="0" borderId="0" xfId="0" applyNumberFormat="1"/>
    <xf numFmtId="3" fontId="12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horizontal="center"/>
    </xf>
    <xf numFmtId="44" fontId="11" fillId="0" borderId="0" xfId="0" applyNumberFormat="1" applyFont="1" applyAlignment="1">
      <alignment horizontal="center"/>
    </xf>
    <xf numFmtId="44" fontId="13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44" fontId="9" fillId="0" borderId="0" xfId="0" applyNumberFormat="1" applyFont="1" applyAlignment="1">
      <alignment horizontal="center"/>
    </xf>
    <xf numFmtId="44" fontId="0" fillId="0" borderId="0" xfId="0" applyNumberFormat="1"/>
    <xf numFmtId="44" fontId="12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44" fontId="9" fillId="0" borderId="0" xfId="0" applyNumberFormat="1" applyFont="1" applyAlignment="1">
      <alignment horizontal="center"/>
    </xf>
    <xf numFmtId="3" fontId="0" fillId="0" borderId="0" xfId="0" applyNumberFormat="1"/>
    <xf numFmtId="44" fontId="0" fillId="0" borderId="0" xfId="0" applyNumberFormat="1"/>
    <xf numFmtId="37" fontId="9" fillId="0" borderId="0" xfId="0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37" fontId="0" fillId="0" borderId="0" xfId="0" applyNumberFormat="1"/>
    <xf numFmtId="3" fontId="9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1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/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dLblPos val="bestFit"/>
              <c:showCatName val="1"/>
              <c:showPercent val="1"/>
            </c:dLbl>
            <c:dLbl>
              <c:idx val="1"/>
              <c:dLblPos val="bestFit"/>
              <c:showCatName val="1"/>
              <c:showPercent val="1"/>
            </c:dLbl>
            <c:delete val="1"/>
          </c:dLbls>
          <c:cat>
            <c:strRef>
              <c:f>('SSC Treasury'!$D$2,'SSC Treasury'!$G$2)</c:f>
              <c:strCache>
                <c:ptCount val="2"/>
                <c:pt idx="0">
                  <c:v>Sum Expenses</c:v>
                </c:pt>
                <c:pt idx="1">
                  <c:v>Sum Income</c:v>
                </c:pt>
              </c:strCache>
            </c:strRef>
          </c:cat>
          <c:val>
            <c:numRef>
              <c:f>('SSC Treasury'!$D$3,'SSC Treasury'!$G$3)</c:f>
              <c:numCache>
                <c:formatCode>\$#,##0</c:formatCode>
                <c:ptCount val="2"/>
                <c:pt idx="0">
                  <c:v>2.8407855793749E13</c:v>
                </c:pt>
                <c:pt idx="1">
                  <c:v>1.63734826165425E14</c:v>
                </c:pt>
              </c:numCache>
            </c:numRef>
          </c:val>
        </c:ser>
      </c:pie3DChart>
    </c:plotArea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Pt>
            <c:idx val="0"/>
            <c:explosion val="63"/>
          </c:dPt>
          <c:dLbls>
            <c:dLbl>
              <c:idx val="0"/>
              <c:layout/>
              <c:dLblPos val="bestFit"/>
              <c:showLegendKey val="1"/>
              <c:showCatName val="1"/>
              <c:showPercent val="1"/>
            </c:dLbl>
            <c:dLbl>
              <c:idx val="1"/>
              <c:layout/>
              <c:dLblPos val="bestFit"/>
              <c:showLegendKey val="1"/>
              <c:showCatName val="1"/>
              <c:showPercent val="1"/>
            </c:dLbl>
            <c:delete val="1"/>
          </c:dLbls>
          <c:cat>
            <c:strRef>
              <c:f>('Sullust Treasury'!$D$2,'Sullust Treasury'!$G$2)</c:f>
              <c:strCache>
                <c:ptCount val="2"/>
                <c:pt idx="0">
                  <c:v>Sum Expenses</c:v>
                </c:pt>
                <c:pt idx="1">
                  <c:v>Sum Income</c:v>
                </c:pt>
              </c:strCache>
            </c:strRef>
          </c:cat>
          <c:val>
            <c:numRef>
              <c:f>('Sullust Treasury'!$D$3,'Sullust Treasury'!$G$3)</c:f>
              <c:numCache>
                <c:formatCode>_("$"* #,##0.00_);_("$"* \(#,##0.00\);_("$"* "-"??_);_(@_)</c:formatCode>
                <c:ptCount val="2"/>
                <c:pt idx="0">
                  <c:v>5.75473082847263E14</c:v>
                </c:pt>
                <c:pt idx="1">
                  <c:v>4.19733431733271E14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dLblPos val="ctr"/>
              <c:showCatName val="1"/>
              <c:showPercent val="1"/>
            </c:dLbl>
            <c:dLbl>
              <c:idx val="1"/>
              <c:dLblPos val="ctr"/>
              <c:showCatName val="1"/>
              <c:showPercent val="1"/>
            </c:dLbl>
            <c:dLbl>
              <c:idx val="2"/>
              <c:dLblPos val="ctr"/>
              <c:showCatName val="1"/>
              <c:showPercent val="1"/>
            </c:dLbl>
            <c:dLbl>
              <c:idx val="3"/>
              <c:dLblPos val="ctr"/>
              <c:showCatName val="1"/>
              <c:showPercent val="1"/>
            </c:dLbl>
            <c:dLbl>
              <c:idx val="4"/>
              <c:dLblPos val="ctr"/>
              <c:showCatName val="1"/>
              <c:showPercent val="1"/>
            </c:dLbl>
            <c:delete val="1"/>
          </c:dLbls>
          <c:cat>
            <c:strRef>
              <c:f>('NPC Employees'!$C$13,'NPC Employees'!$E$13,'NPC Employees'!$F$13,'NPC Employees'!$G$13,'NPC Employees'!$H$13)</c:f>
              <c:strCache>
                <c:ptCount val="5"/>
                <c:pt idx="0">
                  <c:v>Govt Jobs</c:v>
                </c:pt>
                <c:pt idx="1">
                  <c:v>Private Industry Jobs</c:v>
                </c:pt>
                <c:pt idx="2">
                  <c:v>SSC Jobs</c:v>
                </c:pt>
                <c:pt idx="3">
                  <c:v>Unemployed</c:v>
                </c:pt>
                <c:pt idx="4">
                  <c:v>Empire Jobs</c:v>
                </c:pt>
              </c:strCache>
            </c:strRef>
          </c:cat>
          <c:val>
            <c:numRef>
              <c:f>('NPC Employees'!$C$14,'NPC Employees'!$E$14,'NPC Employees'!$F$14,'NPC Employees'!$G$14,'NPC Employees'!$H$14)</c:f>
              <c:numCache>
                <c:formatCode>#,##0</c:formatCode>
                <c:ptCount val="5"/>
                <c:pt idx="0">
                  <c:v>2.80631433333333E8</c:v>
                </c:pt>
                <c:pt idx="1">
                  <c:v>6.66E9</c:v>
                </c:pt>
                <c:pt idx="2">
                  <c:v>9.25E9</c:v>
                </c:pt>
                <c:pt idx="3">
                  <c:v>1.01436856666667E9</c:v>
                </c:pt>
                <c:pt idx="4">
                  <c:v>1.295E9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270932</xdr:colOff>
      <xdr:row>21</xdr:row>
      <xdr:rowOff>42332</xdr:rowOff>
    </xdr:from>
    <xdr:to>
      <xdr:col>7</xdr:col>
      <xdr:colOff>397933</xdr:colOff>
      <xdr:row>35</xdr:row>
      <xdr:rowOff>93133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160868</xdr:colOff>
      <xdr:row>22</xdr:row>
      <xdr:rowOff>76200</xdr:rowOff>
    </xdr:from>
    <xdr:to>
      <xdr:col>7</xdr:col>
      <xdr:colOff>931333</xdr:colOff>
      <xdr:row>31</xdr:row>
      <xdr:rowOff>139698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736600</xdr:colOff>
      <xdr:row>19</xdr:row>
      <xdr:rowOff>101600</xdr:rowOff>
    </xdr:from>
    <xdr:to>
      <xdr:col>12</xdr:col>
      <xdr:colOff>901700</xdr:colOff>
      <xdr:row>49</xdr:row>
      <xdr:rowOff>127000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sullust@blee.biz" TargetMode="External"/><Relationship Id="rId4" Type="http://schemas.openxmlformats.org/officeDocument/2006/relationships/hyperlink" Target="mailto:sullust@blee.biz" TargetMode="External"/><Relationship Id="rId5" Type="http://schemas.openxmlformats.org/officeDocument/2006/relationships/hyperlink" Target="mailto:sullust@blee.biz" TargetMode="External"/><Relationship Id="rId1" Type="http://schemas.openxmlformats.org/officeDocument/2006/relationships/hyperlink" Target="mailto:rajzarraoub@swngs.com" TargetMode="External"/><Relationship Id="rId2" Type="http://schemas.openxmlformats.org/officeDocument/2006/relationships/hyperlink" Target="mailto:sullust@blee.biz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rajzarraoub@swngs.com" TargetMode="External"/><Relationship Id="rId2" Type="http://schemas.openxmlformats.org/officeDocument/2006/relationships/hyperlink" Target="mailto:DarexMcKnight@aim.com" TargetMode="External"/><Relationship Id="rId3" Type="http://schemas.openxmlformats.org/officeDocument/2006/relationships/hyperlink" Target="javascript:open_compose_win('to=presbyguy12%40aol.com&amp;thismailbox=INBOX');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114"/>
  <sheetViews>
    <sheetView topLeftCell="C4" zoomScale="150" workbookViewId="0">
      <selection activeCell="I30" sqref="I30"/>
    </sheetView>
  </sheetViews>
  <sheetFormatPr baseColWidth="10" defaultColWidth="9.1640625" defaultRowHeight="12"/>
  <cols>
    <col min="1" max="1" width="36.5" style="3" bestFit="1" customWidth="1"/>
    <col min="2" max="2" width="10" style="3" bestFit="1" customWidth="1"/>
    <col min="3" max="3" width="12.6640625" style="8" bestFit="1" customWidth="1"/>
    <col min="4" max="4" width="15.5" style="8" bestFit="1" customWidth="1"/>
    <col min="5" max="5" width="10.83203125" style="7" bestFit="1" customWidth="1"/>
    <col min="6" max="6" width="9.6640625" style="7" bestFit="1" customWidth="1"/>
    <col min="7" max="7" width="8.6640625" style="7" bestFit="1" customWidth="1"/>
    <col min="8" max="8" width="8.5" style="7" customWidth="1"/>
    <col min="9" max="9" width="16.1640625" style="7" bestFit="1" customWidth="1"/>
    <col min="10" max="10" width="9.1640625" style="7" bestFit="1"/>
    <col min="11" max="11" width="11.6640625" style="7" bestFit="1" customWidth="1"/>
    <col min="12" max="12" width="8.6640625" style="7" bestFit="1" customWidth="1"/>
    <col min="13" max="13" width="10.83203125" style="7" customWidth="1"/>
    <col min="14" max="14" width="8.6640625" style="33" customWidth="1"/>
    <col min="15" max="15" width="16.33203125" style="8" customWidth="1"/>
    <col min="16" max="16" width="11.83203125" style="7" bestFit="1" customWidth="1"/>
    <col min="17" max="17" width="14" style="7" bestFit="1" customWidth="1"/>
    <col min="18" max="18" width="17.33203125" style="8" customWidth="1"/>
    <col min="19" max="20" width="13.5" style="3" bestFit="1" customWidth="1"/>
    <col min="21" max="21" width="16" style="3" bestFit="1" customWidth="1"/>
    <col min="22" max="16384" width="9.1640625" style="3"/>
  </cols>
  <sheetData>
    <row r="1" spans="1:21" s="2" customFormat="1" ht="21">
      <c r="A1" s="1"/>
      <c r="C1" s="79" t="s">
        <v>269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34"/>
      <c r="R1" s="9"/>
    </row>
    <row r="2" spans="1:21" s="2" customFormat="1" ht="21">
      <c r="A2" s="1"/>
      <c r="C2" s="81" t="s">
        <v>270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35"/>
      <c r="R2" s="9"/>
    </row>
    <row r="4" spans="1:21" s="1" customFormat="1">
      <c r="A4" s="1" t="s">
        <v>436</v>
      </c>
      <c r="B4" s="1" t="s">
        <v>271</v>
      </c>
      <c r="C4" s="6" t="s">
        <v>437</v>
      </c>
      <c r="D4" s="6" t="s">
        <v>438</v>
      </c>
      <c r="E4" s="5" t="s">
        <v>263</v>
      </c>
      <c r="F4" s="5" t="s">
        <v>264</v>
      </c>
      <c r="G4" s="5" t="s">
        <v>265</v>
      </c>
      <c r="H4" s="5" t="s">
        <v>412</v>
      </c>
      <c r="I4" s="5" t="s">
        <v>275</v>
      </c>
      <c r="J4" s="5" t="s">
        <v>274</v>
      </c>
      <c r="K4" s="5" t="s">
        <v>266</v>
      </c>
      <c r="L4" s="5" t="s">
        <v>267</v>
      </c>
      <c r="M4" s="5" t="s">
        <v>258</v>
      </c>
      <c r="N4" s="32" t="s">
        <v>425</v>
      </c>
      <c r="O4" s="6" t="s">
        <v>273</v>
      </c>
      <c r="P4" s="5" t="s">
        <v>268</v>
      </c>
      <c r="Q4" s="5" t="s">
        <v>177</v>
      </c>
      <c r="R4" s="6" t="s">
        <v>411</v>
      </c>
      <c r="S4" s="1" t="s">
        <v>413</v>
      </c>
      <c r="U4" s="1" t="s">
        <v>169</v>
      </c>
    </row>
    <row r="5" spans="1:21">
      <c r="A5" s="3" t="s">
        <v>414</v>
      </c>
      <c r="B5" s="3" t="s">
        <v>272</v>
      </c>
      <c r="C5" s="8">
        <v>4000000</v>
      </c>
      <c r="D5" s="8">
        <f>(C5*0.25)</f>
        <v>1000000</v>
      </c>
      <c r="E5" s="7">
        <v>3</v>
      </c>
      <c r="F5" s="40">
        <v>12</v>
      </c>
      <c r="G5" s="40">
        <f>(F5/E5)*(H5)</f>
        <v>20</v>
      </c>
      <c r="H5" s="40">
        <v>5</v>
      </c>
      <c r="I5" s="7">
        <f>(I29*30)</f>
        <v>1050</v>
      </c>
      <c r="J5" s="40">
        <f>(I8)</f>
        <v>1</v>
      </c>
      <c r="K5" s="40">
        <f>(G5*H5)*(J5)</f>
        <v>100</v>
      </c>
      <c r="L5" s="39">
        <v>53</v>
      </c>
      <c r="M5" s="39">
        <f>(I17)*(K5)</f>
        <v>30</v>
      </c>
      <c r="O5" s="8">
        <f>((L5+M5)*C5)-(D5)*(K5)</f>
        <v>232000000</v>
      </c>
      <c r="P5" s="39">
        <f>(K5-(L5+M5))</f>
        <v>17</v>
      </c>
      <c r="Q5" s="41">
        <f>(D112)+(K112)</f>
        <v>37660477.75</v>
      </c>
      <c r="R5" s="8">
        <f>SUM(O5:O120)</f>
        <v>36231373773.999969</v>
      </c>
      <c r="S5" s="40">
        <f>SUM(P5:P120)</f>
        <v>15377800.750000002</v>
      </c>
      <c r="U5" s="38">
        <f>(M5)*(C5)</f>
        <v>120000000</v>
      </c>
    </row>
    <row r="6" spans="1:21">
      <c r="A6" s="3" t="s">
        <v>276</v>
      </c>
      <c r="B6" s="3" t="s">
        <v>277</v>
      </c>
      <c r="C6" s="8">
        <v>4000</v>
      </c>
      <c r="D6" s="8">
        <f t="shared" ref="D6:D69" si="0">(C6*0.25)</f>
        <v>1000</v>
      </c>
      <c r="E6" s="7">
        <v>0.5</v>
      </c>
      <c r="F6" s="40">
        <v>12</v>
      </c>
      <c r="G6" s="40">
        <f t="shared" ref="G6:G69" si="1">(F6/E6)</f>
        <v>24</v>
      </c>
      <c r="H6" s="40">
        <v>5</v>
      </c>
      <c r="J6" s="40">
        <f>(I5)</f>
        <v>1050</v>
      </c>
      <c r="K6" s="40">
        <f>(G6*H6)*(J6)</f>
        <v>126000</v>
      </c>
      <c r="L6" s="39"/>
      <c r="M6" s="39">
        <f>(I20)*(K6)</f>
        <v>94500</v>
      </c>
      <c r="O6" s="8">
        <f t="shared" ref="O6:O69" si="2">((L6+M6)*C6)-(D6)*(K6)</f>
        <v>252000000</v>
      </c>
      <c r="P6" s="39">
        <f t="shared" ref="P6:P69" si="3">(K6-(L6+M6))</f>
        <v>31500</v>
      </c>
      <c r="Q6" s="39"/>
      <c r="U6" s="38">
        <f t="shared" ref="U6:U69" si="4">(M6)*(C6)</f>
        <v>378000000</v>
      </c>
    </row>
    <row r="7" spans="1:21">
      <c r="A7" s="3" t="s">
        <v>278</v>
      </c>
      <c r="B7" s="3" t="s">
        <v>277</v>
      </c>
      <c r="C7" s="8">
        <v>8000</v>
      </c>
      <c r="D7" s="8">
        <f t="shared" si="0"/>
        <v>2000</v>
      </c>
      <c r="E7" s="7">
        <v>0.5</v>
      </c>
      <c r="F7" s="40">
        <v>12</v>
      </c>
      <c r="G7" s="40">
        <f t="shared" si="1"/>
        <v>24</v>
      </c>
      <c r="H7" s="40">
        <v>5</v>
      </c>
      <c r="I7" s="12" t="s">
        <v>430</v>
      </c>
      <c r="J7" s="40">
        <f>(I5)</f>
        <v>1050</v>
      </c>
      <c r="K7" s="40">
        <f t="shared" ref="K7:K69" si="5">(G7*H7)*(J7)</f>
        <v>126000</v>
      </c>
      <c r="L7" s="39"/>
      <c r="M7" s="39">
        <f>(I20)*(K7)</f>
        <v>94500</v>
      </c>
      <c r="O7" s="8">
        <f t="shared" si="2"/>
        <v>504000000</v>
      </c>
      <c r="P7" s="39">
        <f t="shared" si="3"/>
        <v>31500</v>
      </c>
      <c r="Q7" s="39"/>
      <c r="U7" s="38">
        <f t="shared" si="4"/>
        <v>756000000</v>
      </c>
    </row>
    <row r="8" spans="1:21">
      <c r="A8" s="3" t="s">
        <v>279</v>
      </c>
      <c r="B8" s="3" t="s">
        <v>277</v>
      </c>
      <c r="C8" s="8">
        <v>12000</v>
      </c>
      <c r="D8" s="8">
        <f t="shared" si="0"/>
        <v>3000</v>
      </c>
      <c r="E8" s="7">
        <v>0.5</v>
      </c>
      <c r="F8" s="40">
        <v>12</v>
      </c>
      <c r="G8" s="40">
        <f t="shared" si="1"/>
        <v>24</v>
      </c>
      <c r="H8" s="40">
        <v>5</v>
      </c>
      <c r="I8" s="7">
        <v>1</v>
      </c>
      <c r="J8" s="40">
        <f>(I5)</f>
        <v>1050</v>
      </c>
      <c r="K8" s="40">
        <f t="shared" si="5"/>
        <v>126000</v>
      </c>
      <c r="L8" s="39"/>
      <c r="M8" s="39">
        <f>(I20)*(K8)</f>
        <v>94500</v>
      </c>
      <c r="O8" s="8">
        <f t="shared" si="2"/>
        <v>756000000</v>
      </c>
      <c r="P8" s="39">
        <f t="shared" si="3"/>
        <v>31500</v>
      </c>
      <c r="Q8" s="39"/>
      <c r="U8" s="38">
        <f t="shared" si="4"/>
        <v>1134000000</v>
      </c>
    </row>
    <row r="9" spans="1:21">
      <c r="A9" s="3" t="s">
        <v>280</v>
      </c>
      <c r="B9" s="3" t="s">
        <v>277</v>
      </c>
      <c r="C9" s="8">
        <v>6000</v>
      </c>
      <c r="D9" s="8">
        <f t="shared" si="0"/>
        <v>1500</v>
      </c>
      <c r="E9" s="7">
        <v>0.5</v>
      </c>
      <c r="F9" s="40">
        <v>12</v>
      </c>
      <c r="G9" s="40">
        <f t="shared" si="1"/>
        <v>24</v>
      </c>
      <c r="H9" s="40">
        <v>5</v>
      </c>
      <c r="J9" s="40">
        <f>(I5)</f>
        <v>1050</v>
      </c>
      <c r="K9" s="40">
        <f t="shared" si="5"/>
        <v>126000</v>
      </c>
      <c r="L9" s="39"/>
      <c r="M9" s="39">
        <f>(I20)*(K9)</f>
        <v>94500</v>
      </c>
      <c r="O9" s="8">
        <f t="shared" si="2"/>
        <v>378000000</v>
      </c>
      <c r="P9" s="39">
        <f t="shared" si="3"/>
        <v>31500</v>
      </c>
      <c r="Q9" s="39"/>
      <c r="U9" s="38">
        <f t="shared" si="4"/>
        <v>567000000</v>
      </c>
    </row>
    <row r="10" spans="1:21">
      <c r="A10" s="3" t="s">
        <v>281</v>
      </c>
      <c r="B10" s="3" t="s">
        <v>277</v>
      </c>
      <c r="C10" s="8">
        <v>900</v>
      </c>
      <c r="D10" s="8">
        <f t="shared" si="0"/>
        <v>225</v>
      </c>
      <c r="E10" s="7">
        <v>0.5</v>
      </c>
      <c r="F10" s="40">
        <v>12</v>
      </c>
      <c r="G10" s="40">
        <f t="shared" si="1"/>
        <v>24</v>
      </c>
      <c r="H10" s="40">
        <v>5</v>
      </c>
      <c r="I10" s="12" t="s">
        <v>232</v>
      </c>
      <c r="J10" s="40">
        <f>(I5)</f>
        <v>1050</v>
      </c>
      <c r="K10" s="40">
        <f t="shared" si="5"/>
        <v>126000</v>
      </c>
      <c r="L10" s="39"/>
      <c r="M10" s="39">
        <f>(I20)*(K10)</f>
        <v>94500</v>
      </c>
      <c r="O10" s="8">
        <f t="shared" si="2"/>
        <v>56700000</v>
      </c>
      <c r="P10" s="39">
        <f t="shared" si="3"/>
        <v>31500</v>
      </c>
      <c r="Q10" s="39"/>
      <c r="U10" s="38">
        <f t="shared" si="4"/>
        <v>85050000</v>
      </c>
    </row>
    <row r="11" spans="1:21">
      <c r="A11" s="3" t="s">
        <v>282</v>
      </c>
      <c r="B11" s="3" t="s">
        <v>283</v>
      </c>
      <c r="C11" s="8">
        <v>100</v>
      </c>
      <c r="D11" s="8">
        <f t="shared" si="0"/>
        <v>25</v>
      </c>
      <c r="E11" s="7">
        <v>0.5</v>
      </c>
      <c r="F11" s="40">
        <v>12</v>
      </c>
      <c r="G11" s="40">
        <f t="shared" si="1"/>
        <v>24</v>
      </c>
      <c r="H11" s="40">
        <v>5</v>
      </c>
      <c r="I11" s="7">
        <v>90</v>
      </c>
      <c r="J11" s="40">
        <f>(I5)</f>
        <v>1050</v>
      </c>
      <c r="K11" s="40">
        <f t="shared" si="5"/>
        <v>126000</v>
      </c>
      <c r="L11" s="39"/>
      <c r="M11" s="39">
        <f>(I20)*(K11)</f>
        <v>94500</v>
      </c>
      <c r="O11" s="8">
        <f t="shared" si="2"/>
        <v>6300000</v>
      </c>
      <c r="P11" s="39">
        <f t="shared" si="3"/>
        <v>31500</v>
      </c>
      <c r="Q11" s="39"/>
      <c r="U11" s="38">
        <f t="shared" si="4"/>
        <v>9450000</v>
      </c>
    </row>
    <row r="12" spans="1:21">
      <c r="A12" s="3" t="s">
        <v>284</v>
      </c>
      <c r="B12" s="3" t="s">
        <v>283</v>
      </c>
      <c r="C12" s="8">
        <v>200</v>
      </c>
      <c r="D12" s="8">
        <f t="shared" si="0"/>
        <v>50</v>
      </c>
      <c r="E12" s="7">
        <v>0.5</v>
      </c>
      <c r="F12" s="40">
        <v>12</v>
      </c>
      <c r="G12" s="40">
        <f t="shared" si="1"/>
        <v>24</v>
      </c>
      <c r="H12" s="40">
        <v>5</v>
      </c>
      <c r="J12" s="40">
        <f>(I5)</f>
        <v>1050</v>
      </c>
      <c r="K12" s="40">
        <f t="shared" si="5"/>
        <v>126000</v>
      </c>
      <c r="L12" s="39">
        <v>25150</v>
      </c>
      <c r="M12" s="39">
        <f>(I20)*(K12)</f>
        <v>94500</v>
      </c>
      <c r="O12" s="8">
        <f t="shared" si="2"/>
        <v>17630000</v>
      </c>
      <c r="P12" s="39">
        <f t="shared" si="3"/>
        <v>6350</v>
      </c>
      <c r="Q12" s="39"/>
      <c r="U12" s="38">
        <f t="shared" si="4"/>
        <v>18900000</v>
      </c>
    </row>
    <row r="13" spans="1:21">
      <c r="A13" s="3" t="s">
        <v>285</v>
      </c>
      <c r="B13" s="3" t="s">
        <v>283</v>
      </c>
      <c r="C13" s="8">
        <v>250</v>
      </c>
      <c r="D13" s="8">
        <f t="shared" si="0"/>
        <v>62.5</v>
      </c>
      <c r="E13" s="7">
        <v>0.5</v>
      </c>
      <c r="F13" s="40">
        <v>12</v>
      </c>
      <c r="G13" s="40">
        <f t="shared" si="1"/>
        <v>24</v>
      </c>
      <c r="H13" s="40">
        <v>5</v>
      </c>
      <c r="I13" s="12" t="s">
        <v>233</v>
      </c>
      <c r="J13" s="40">
        <f>(I5)</f>
        <v>1050</v>
      </c>
      <c r="K13" s="40">
        <f t="shared" si="5"/>
        <v>126000</v>
      </c>
      <c r="L13" s="39"/>
      <c r="M13" s="39">
        <f>(I20)*(K13)</f>
        <v>94500</v>
      </c>
      <c r="O13" s="8">
        <f t="shared" si="2"/>
        <v>15750000</v>
      </c>
      <c r="P13" s="39">
        <f t="shared" si="3"/>
        <v>31500</v>
      </c>
      <c r="Q13" s="39"/>
      <c r="U13" s="38">
        <f t="shared" si="4"/>
        <v>23625000</v>
      </c>
    </row>
    <row r="14" spans="1:21">
      <c r="A14" s="3" t="s">
        <v>286</v>
      </c>
      <c r="B14" s="3" t="s">
        <v>283</v>
      </c>
      <c r="C14" s="8">
        <v>200</v>
      </c>
      <c r="D14" s="8">
        <f t="shared" si="0"/>
        <v>50</v>
      </c>
      <c r="E14" s="7">
        <v>0.5</v>
      </c>
      <c r="F14" s="40">
        <v>12</v>
      </c>
      <c r="G14" s="40">
        <f t="shared" si="1"/>
        <v>24</v>
      </c>
      <c r="H14" s="40">
        <v>5</v>
      </c>
      <c r="I14" s="7">
        <v>60</v>
      </c>
      <c r="J14" s="40">
        <f>(I5)</f>
        <v>1050</v>
      </c>
      <c r="K14" s="40">
        <f t="shared" si="5"/>
        <v>126000</v>
      </c>
      <c r="L14" s="39">
        <v>25</v>
      </c>
      <c r="M14" s="39">
        <f>(I20)*(K14)</f>
        <v>94500</v>
      </c>
      <c r="O14" s="8">
        <f t="shared" si="2"/>
        <v>12605000</v>
      </c>
      <c r="P14" s="39">
        <f t="shared" si="3"/>
        <v>31475</v>
      </c>
      <c r="Q14" s="39"/>
      <c r="U14" s="38">
        <f t="shared" si="4"/>
        <v>18900000</v>
      </c>
    </row>
    <row r="15" spans="1:21">
      <c r="A15" s="3" t="s">
        <v>287</v>
      </c>
      <c r="B15" s="3" t="s">
        <v>283</v>
      </c>
      <c r="C15" s="8">
        <v>50</v>
      </c>
      <c r="D15" s="8">
        <f t="shared" si="0"/>
        <v>12.5</v>
      </c>
      <c r="E15" s="7">
        <v>0.5</v>
      </c>
      <c r="F15" s="40">
        <v>12</v>
      </c>
      <c r="G15" s="40">
        <f t="shared" si="1"/>
        <v>24</v>
      </c>
      <c r="H15" s="40">
        <v>5</v>
      </c>
      <c r="J15" s="40">
        <f>(I5)</f>
        <v>1050</v>
      </c>
      <c r="K15" s="40">
        <f t="shared" si="5"/>
        <v>126000</v>
      </c>
      <c r="L15" s="39"/>
      <c r="M15" s="39">
        <f>(I20)*(K15)</f>
        <v>94500</v>
      </c>
      <c r="O15" s="8">
        <f t="shared" si="2"/>
        <v>3150000</v>
      </c>
      <c r="P15" s="39">
        <f t="shared" si="3"/>
        <v>31500</v>
      </c>
      <c r="Q15" s="39"/>
      <c r="U15" s="38">
        <f t="shared" si="4"/>
        <v>4725000</v>
      </c>
    </row>
    <row r="16" spans="1:21">
      <c r="A16" s="3" t="s">
        <v>288</v>
      </c>
      <c r="B16" s="3" t="s">
        <v>283</v>
      </c>
      <c r="C16" s="8">
        <v>100</v>
      </c>
      <c r="D16" s="8">
        <f t="shared" si="0"/>
        <v>25</v>
      </c>
      <c r="E16" s="7">
        <v>0.5</v>
      </c>
      <c r="F16" s="40">
        <v>12</v>
      </c>
      <c r="G16" s="40">
        <f t="shared" si="1"/>
        <v>24</v>
      </c>
      <c r="H16" s="40">
        <v>5</v>
      </c>
      <c r="I16" s="36" t="s">
        <v>259</v>
      </c>
      <c r="J16" s="40">
        <f>(I5)</f>
        <v>1050</v>
      </c>
      <c r="K16" s="40">
        <f t="shared" si="5"/>
        <v>126000</v>
      </c>
      <c r="L16" s="39"/>
      <c r="M16" s="39">
        <f>(I20)*(K16)</f>
        <v>94500</v>
      </c>
      <c r="O16" s="8">
        <f t="shared" si="2"/>
        <v>6300000</v>
      </c>
      <c r="P16" s="39">
        <f t="shared" si="3"/>
        <v>31500</v>
      </c>
      <c r="Q16" s="39"/>
      <c r="U16" s="38">
        <f t="shared" si="4"/>
        <v>9450000</v>
      </c>
    </row>
    <row r="17" spans="1:21">
      <c r="A17" s="3" t="s">
        <v>289</v>
      </c>
      <c r="B17" s="3" t="s">
        <v>283</v>
      </c>
      <c r="C17" s="8">
        <v>250000</v>
      </c>
      <c r="D17" s="8">
        <f t="shared" si="0"/>
        <v>62500</v>
      </c>
      <c r="E17" s="7">
        <v>0.5</v>
      </c>
      <c r="F17" s="40">
        <v>12</v>
      </c>
      <c r="G17" s="40">
        <f t="shared" si="1"/>
        <v>24</v>
      </c>
      <c r="H17" s="40">
        <v>5</v>
      </c>
      <c r="I17" s="36">
        <v>0.3</v>
      </c>
      <c r="J17" s="40">
        <f>(I5)</f>
        <v>1050</v>
      </c>
      <c r="K17" s="40">
        <f t="shared" si="5"/>
        <v>126000</v>
      </c>
      <c r="L17" s="39">
        <v>10</v>
      </c>
      <c r="M17" s="39">
        <f>(I20)*(K17)</f>
        <v>94500</v>
      </c>
      <c r="O17" s="8">
        <f t="shared" si="2"/>
        <v>15752500000</v>
      </c>
      <c r="P17" s="39">
        <f t="shared" si="3"/>
        <v>31490</v>
      </c>
      <c r="Q17" s="39"/>
      <c r="U17" s="38">
        <f t="shared" si="4"/>
        <v>23625000000</v>
      </c>
    </row>
    <row r="18" spans="1:21">
      <c r="A18" s="3" t="s">
        <v>290</v>
      </c>
      <c r="B18" s="3" t="s">
        <v>283</v>
      </c>
      <c r="C18" s="8">
        <v>250</v>
      </c>
      <c r="D18" s="8">
        <f t="shared" si="0"/>
        <v>62.5</v>
      </c>
      <c r="E18" s="7">
        <v>0.5</v>
      </c>
      <c r="F18" s="40">
        <v>12</v>
      </c>
      <c r="G18" s="40">
        <f t="shared" si="1"/>
        <v>24</v>
      </c>
      <c r="H18" s="40">
        <v>5</v>
      </c>
      <c r="I18" s="36"/>
      <c r="J18" s="40">
        <f>(I5)</f>
        <v>1050</v>
      </c>
      <c r="K18" s="40">
        <f t="shared" si="5"/>
        <v>126000</v>
      </c>
      <c r="L18" s="39"/>
      <c r="M18" s="39">
        <f>(I20)*(K18)</f>
        <v>94500</v>
      </c>
      <c r="O18" s="8">
        <f t="shared" si="2"/>
        <v>15750000</v>
      </c>
      <c r="P18" s="39">
        <f t="shared" si="3"/>
        <v>31500</v>
      </c>
      <c r="Q18" s="39"/>
      <c r="U18" s="38">
        <f t="shared" si="4"/>
        <v>23625000</v>
      </c>
    </row>
    <row r="19" spans="1:21">
      <c r="A19" s="3" t="s">
        <v>291</v>
      </c>
      <c r="B19" s="3" t="s">
        <v>283</v>
      </c>
      <c r="C19" s="8">
        <v>4000</v>
      </c>
      <c r="D19" s="8">
        <f t="shared" si="0"/>
        <v>1000</v>
      </c>
      <c r="E19" s="7">
        <v>0.5</v>
      </c>
      <c r="F19" s="40">
        <v>12</v>
      </c>
      <c r="G19" s="40">
        <f t="shared" si="1"/>
        <v>24</v>
      </c>
      <c r="H19" s="40">
        <v>5</v>
      </c>
      <c r="I19" s="36" t="s">
        <v>260</v>
      </c>
      <c r="J19" s="40">
        <f>(I5)</f>
        <v>1050</v>
      </c>
      <c r="K19" s="40">
        <f t="shared" si="5"/>
        <v>126000</v>
      </c>
      <c r="L19" s="39"/>
      <c r="M19" s="39">
        <f>(I20)*(K19)</f>
        <v>94500</v>
      </c>
      <c r="O19" s="8">
        <f t="shared" si="2"/>
        <v>252000000</v>
      </c>
      <c r="P19" s="39">
        <f t="shared" si="3"/>
        <v>31500</v>
      </c>
      <c r="Q19" s="39"/>
      <c r="U19" s="38">
        <f t="shared" si="4"/>
        <v>378000000</v>
      </c>
    </row>
    <row r="20" spans="1:21">
      <c r="A20" s="3" t="s">
        <v>292</v>
      </c>
      <c r="B20" s="3" t="s">
        <v>283</v>
      </c>
      <c r="C20" s="8">
        <v>1000</v>
      </c>
      <c r="D20" s="8">
        <f t="shared" si="0"/>
        <v>250</v>
      </c>
      <c r="E20" s="7">
        <v>0.5</v>
      </c>
      <c r="F20" s="40">
        <v>12</v>
      </c>
      <c r="G20" s="40">
        <f t="shared" si="1"/>
        <v>24</v>
      </c>
      <c r="H20" s="40">
        <v>5</v>
      </c>
      <c r="I20" s="36">
        <v>0.75</v>
      </c>
      <c r="J20" s="40">
        <f>(I5)</f>
        <v>1050</v>
      </c>
      <c r="K20" s="40">
        <f t="shared" si="5"/>
        <v>126000</v>
      </c>
      <c r="L20" s="39">
        <v>100</v>
      </c>
      <c r="M20" s="39">
        <f>(I20)*(K20)</f>
        <v>94500</v>
      </c>
      <c r="O20" s="8">
        <f t="shared" si="2"/>
        <v>63100000</v>
      </c>
      <c r="P20" s="39">
        <f t="shared" si="3"/>
        <v>31400</v>
      </c>
      <c r="Q20" s="39"/>
      <c r="U20" s="38">
        <f t="shared" si="4"/>
        <v>94500000</v>
      </c>
    </row>
    <row r="21" spans="1:21">
      <c r="A21" s="3" t="s">
        <v>293</v>
      </c>
      <c r="B21" s="3" t="s">
        <v>283</v>
      </c>
      <c r="C21" s="8">
        <v>200</v>
      </c>
      <c r="D21" s="8">
        <f t="shared" si="0"/>
        <v>50</v>
      </c>
      <c r="E21" s="7">
        <v>0.5</v>
      </c>
      <c r="F21" s="40">
        <v>12</v>
      </c>
      <c r="G21" s="40">
        <f t="shared" si="1"/>
        <v>24</v>
      </c>
      <c r="H21" s="40">
        <v>5</v>
      </c>
      <c r="I21" s="36"/>
      <c r="J21" s="40">
        <f>(I5)</f>
        <v>1050</v>
      </c>
      <c r="K21" s="40">
        <f t="shared" si="5"/>
        <v>126000</v>
      </c>
      <c r="L21" s="39">
        <v>25</v>
      </c>
      <c r="M21" s="39">
        <f>(I20)*(K21)</f>
        <v>94500</v>
      </c>
      <c r="O21" s="8">
        <f t="shared" si="2"/>
        <v>12605000</v>
      </c>
      <c r="P21" s="39">
        <f t="shared" si="3"/>
        <v>31475</v>
      </c>
      <c r="Q21" s="39"/>
      <c r="U21" s="38">
        <f t="shared" si="4"/>
        <v>18900000</v>
      </c>
    </row>
    <row r="22" spans="1:21">
      <c r="A22" s="3" t="s">
        <v>294</v>
      </c>
      <c r="B22" s="3" t="s">
        <v>283</v>
      </c>
      <c r="C22" s="8">
        <v>10</v>
      </c>
      <c r="D22" s="8">
        <f t="shared" si="0"/>
        <v>2.5</v>
      </c>
      <c r="E22" s="7">
        <v>0.5</v>
      </c>
      <c r="F22" s="40">
        <v>12</v>
      </c>
      <c r="G22" s="40">
        <f t="shared" si="1"/>
        <v>24</v>
      </c>
      <c r="H22" s="40">
        <v>5</v>
      </c>
      <c r="I22" s="36" t="s">
        <v>167</v>
      </c>
      <c r="J22" s="40">
        <f>(I5)</f>
        <v>1050</v>
      </c>
      <c r="K22" s="40">
        <f t="shared" si="5"/>
        <v>126000</v>
      </c>
      <c r="L22" s="39"/>
      <c r="M22" s="39">
        <f>(I20)*(K22)</f>
        <v>94500</v>
      </c>
      <c r="O22" s="8">
        <f t="shared" si="2"/>
        <v>630000</v>
      </c>
      <c r="P22" s="39">
        <f t="shared" si="3"/>
        <v>31500</v>
      </c>
      <c r="Q22" s="39"/>
      <c r="U22" s="38">
        <f t="shared" si="4"/>
        <v>945000</v>
      </c>
    </row>
    <row r="23" spans="1:21">
      <c r="A23" s="3" t="s">
        <v>446</v>
      </c>
      <c r="B23" s="3" t="s">
        <v>283</v>
      </c>
      <c r="C23" s="8">
        <v>50</v>
      </c>
      <c r="D23" s="8">
        <f t="shared" si="0"/>
        <v>12.5</v>
      </c>
      <c r="E23" s="7">
        <v>0.5</v>
      </c>
      <c r="F23" s="40">
        <v>12</v>
      </c>
      <c r="G23" s="40">
        <f t="shared" si="1"/>
        <v>24</v>
      </c>
      <c r="H23" s="40">
        <v>5</v>
      </c>
      <c r="I23" s="36">
        <v>0.6</v>
      </c>
      <c r="J23" s="40">
        <f>(I5)</f>
        <v>1050</v>
      </c>
      <c r="K23" s="40">
        <f t="shared" si="5"/>
        <v>126000</v>
      </c>
      <c r="L23" s="39"/>
      <c r="M23" s="39">
        <f>(I20)*(K23)</f>
        <v>94500</v>
      </c>
      <c r="O23" s="8">
        <f t="shared" si="2"/>
        <v>3150000</v>
      </c>
      <c r="P23" s="39">
        <f t="shared" si="3"/>
        <v>31500</v>
      </c>
      <c r="Q23" s="39"/>
      <c r="U23" s="38">
        <f t="shared" si="4"/>
        <v>4725000</v>
      </c>
    </row>
    <row r="24" spans="1:21">
      <c r="A24" s="3" t="s">
        <v>447</v>
      </c>
      <c r="B24" s="3" t="s">
        <v>283</v>
      </c>
      <c r="C24" s="8">
        <v>30</v>
      </c>
      <c r="D24" s="8">
        <f t="shared" si="0"/>
        <v>7.5</v>
      </c>
      <c r="E24" s="7">
        <v>0.5</v>
      </c>
      <c r="F24" s="40">
        <v>12</v>
      </c>
      <c r="G24" s="40">
        <f t="shared" si="1"/>
        <v>24</v>
      </c>
      <c r="H24" s="40">
        <v>5</v>
      </c>
      <c r="I24" s="37"/>
      <c r="J24" s="40">
        <f>(I5)</f>
        <v>1050</v>
      </c>
      <c r="K24" s="40">
        <f t="shared" si="5"/>
        <v>126000</v>
      </c>
      <c r="L24" s="39"/>
      <c r="M24" s="39">
        <f>(I20)*(K24)</f>
        <v>94500</v>
      </c>
      <c r="O24" s="8">
        <f t="shared" si="2"/>
        <v>1890000</v>
      </c>
      <c r="P24" s="39">
        <f t="shared" si="3"/>
        <v>31500</v>
      </c>
      <c r="Q24" s="39"/>
      <c r="U24" s="38">
        <f t="shared" si="4"/>
        <v>2835000</v>
      </c>
    </row>
    <row r="25" spans="1:21">
      <c r="A25" s="3" t="s">
        <v>448</v>
      </c>
      <c r="B25" s="3" t="s">
        <v>283</v>
      </c>
      <c r="C25" s="8">
        <v>1000</v>
      </c>
      <c r="D25" s="8">
        <f t="shared" si="0"/>
        <v>250</v>
      </c>
      <c r="E25" s="7">
        <v>0.5</v>
      </c>
      <c r="F25" s="40">
        <v>12</v>
      </c>
      <c r="G25" s="40">
        <f t="shared" si="1"/>
        <v>24</v>
      </c>
      <c r="H25" s="40">
        <v>5</v>
      </c>
      <c r="I25" s="37" t="s">
        <v>168</v>
      </c>
      <c r="J25" s="40">
        <f>(I5)</f>
        <v>1050</v>
      </c>
      <c r="K25" s="40">
        <f t="shared" si="5"/>
        <v>126000</v>
      </c>
      <c r="L25" s="39"/>
      <c r="M25" s="39">
        <f>(I20)*(K25)</f>
        <v>94500</v>
      </c>
      <c r="O25" s="8">
        <f t="shared" si="2"/>
        <v>63000000</v>
      </c>
      <c r="P25" s="39">
        <f t="shared" si="3"/>
        <v>31500</v>
      </c>
      <c r="Q25" s="39"/>
      <c r="U25" s="38">
        <f t="shared" si="4"/>
        <v>94500000</v>
      </c>
    </row>
    <row r="26" spans="1:21">
      <c r="A26" s="3" t="s">
        <v>449</v>
      </c>
      <c r="B26" s="3" t="s">
        <v>283</v>
      </c>
      <c r="C26" s="8">
        <v>2</v>
      </c>
      <c r="D26" s="8">
        <f t="shared" si="0"/>
        <v>0.5</v>
      </c>
      <c r="E26" s="7">
        <v>0.5</v>
      </c>
      <c r="F26" s="40">
        <v>12</v>
      </c>
      <c r="G26" s="40">
        <f t="shared" si="1"/>
        <v>24</v>
      </c>
      <c r="H26" s="40">
        <v>5</v>
      </c>
      <c r="I26" s="37">
        <v>0.9</v>
      </c>
      <c r="J26" s="40">
        <f>(I5)</f>
        <v>1050</v>
      </c>
      <c r="K26" s="40">
        <f t="shared" si="5"/>
        <v>126000</v>
      </c>
      <c r="L26" s="39">
        <v>50</v>
      </c>
      <c r="M26" s="39">
        <f>(I20)*(K26)</f>
        <v>94500</v>
      </c>
      <c r="O26" s="8">
        <f t="shared" si="2"/>
        <v>126100</v>
      </c>
      <c r="P26" s="39">
        <f t="shared" si="3"/>
        <v>31450</v>
      </c>
      <c r="Q26" s="39"/>
      <c r="U26" s="38">
        <f t="shared" si="4"/>
        <v>189000</v>
      </c>
    </row>
    <row r="27" spans="1:21">
      <c r="A27" s="3" t="s">
        <v>450</v>
      </c>
      <c r="B27" s="3" t="s">
        <v>283</v>
      </c>
      <c r="C27" s="8">
        <v>2000</v>
      </c>
      <c r="D27" s="8">
        <f t="shared" si="0"/>
        <v>500</v>
      </c>
      <c r="E27" s="7">
        <v>0.5</v>
      </c>
      <c r="F27" s="40">
        <v>12</v>
      </c>
      <c r="G27" s="40">
        <f t="shared" si="1"/>
        <v>24</v>
      </c>
      <c r="H27" s="40">
        <v>5</v>
      </c>
      <c r="J27" s="40">
        <f>(I5)</f>
        <v>1050</v>
      </c>
      <c r="K27" s="40">
        <f t="shared" si="5"/>
        <v>126000</v>
      </c>
      <c r="L27" s="39"/>
      <c r="M27" s="39">
        <f>(I20)*(K27)</f>
        <v>94500</v>
      </c>
      <c r="O27" s="8">
        <f t="shared" si="2"/>
        <v>126000000</v>
      </c>
      <c r="P27" s="39">
        <f t="shared" si="3"/>
        <v>31500</v>
      </c>
      <c r="Q27" s="39"/>
      <c r="U27" s="38">
        <f t="shared" si="4"/>
        <v>189000000</v>
      </c>
    </row>
    <row r="28" spans="1:21">
      <c r="A28" s="3" t="s">
        <v>451</v>
      </c>
      <c r="B28" s="3" t="s">
        <v>283</v>
      </c>
      <c r="C28" s="8">
        <v>500</v>
      </c>
      <c r="D28" s="8">
        <f t="shared" si="0"/>
        <v>125</v>
      </c>
      <c r="E28" s="7">
        <v>0.5</v>
      </c>
      <c r="F28" s="40">
        <v>12</v>
      </c>
      <c r="G28" s="40">
        <f t="shared" si="1"/>
        <v>24</v>
      </c>
      <c r="H28" s="40">
        <v>5</v>
      </c>
      <c r="I28" s="7" t="s">
        <v>10</v>
      </c>
      <c r="J28" s="40">
        <f>(I5)</f>
        <v>1050</v>
      </c>
      <c r="K28" s="40">
        <f t="shared" si="5"/>
        <v>126000</v>
      </c>
      <c r="L28" s="39"/>
      <c r="M28" s="39">
        <f>(I20)*(K28)</f>
        <v>94500</v>
      </c>
      <c r="O28" s="8">
        <f t="shared" si="2"/>
        <v>31500000</v>
      </c>
      <c r="P28" s="39">
        <f t="shared" si="3"/>
        <v>31500</v>
      </c>
      <c r="Q28" s="39"/>
      <c r="U28" s="38">
        <f t="shared" si="4"/>
        <v>47250000</v>
      </c>
    </row>
    <row r="29" spans="1:21">
      <c r="A29" s="3" t="s">
        <v>452</v>
      </c>
      <c r="B29" s="3" t="s">
        <v>283</v>
      </c>
      <c r="C29" s="8">
        <v>200</v>
      </c>
      <c r="D29" s="8">
        <f t="shared" si="0"/>
        <v>50</v>
      </c>
      <c r="E29" s="7">
        <v>0.5</v>
      </c>
      <c r="F29" s="40">
        <v>12</v>
      </c>
      <c r="G29" s="40">
        <f t="shared" si="1"/>
        <v>24</v>
      </c>
      <c r="H29" s="40">
        <v>5</v>
      </c>
      <c r="I29" s="7">
        <v>35</v>
      </c>
      <c r="J29" s="40">
        <f>(I5)</f>
        <v>1050</v>
      </c>
      <c r="K29" s="40">
        <f t="shared" si="5"/>
        <v>126000</v>
      </c>
      <c r="L29" s="39"/>
      <c r="M29" s="39">
        <f>(I20)*(K29)</f>
        <v>94500</v>
      </c>
      <c r="O29" s="8">
        <f t="shared" si="2"/>
        <v>12600000</v>
      </c>
      <c r="P29" s="39">
        <f t="shared" si="3"/>
        <v>31500</v>
      </c>
      <c r="Q29" s="39"/>
      <c r="U29" s="38">
        <f t="shared" si="4"/>
        <v>18900000</v>
      </c>
    </row>
    <row r="30" spans="1:21" ht="15.75" customHeight="1">
      <c r="A30" s="3" t="s">
        <v>453</v>
      </c>
      <c r="B30" s="3" t="s">
        <v>283</v>
      </c>
      <c r="C30" s="8">
        <v>250</v>
      </c>
      <c r="D30" s="8">
        <f t="shared" si="0"/>
        <v>62.5</v>
      </c>
      <c r="E30" s="7">
        <v>0.5</v>
      </c>
      <c r="F30" s="40">
        <v>12</v>
      </c>
      <c r="G30" s="40">
        <f t="shared" si="1"/>
        <v>24</v>
      </c>
      <c r="H30" s="40">
        <v>5</v>
      </c>
      <c r="J30" s="40">
        <f>(I5)</f>
        <v>1050</v>
      </c>
      <c r="K30" s="40">
        <f t="shared" si="5"/>
        <v>126000</v>
      </c>
      <c r="L30" s="39">
        <v>100</v>
      </c>
      <c r="M30" s="39">
        <f>(I20)*(K30)</f>
        <v>94500</v>
      </c>
      <c r="O30" s="8">
        <f t="shared" si="2"/>
        <v>15775000</v>
      </c>
      <c r="P30" s="39">
        <f t="shared" si="3"/>
        <v>31400</v>
      </c>
      <c r="Q30" s="39"/>
      <c r="U30" s="38">
        <f t="shared" si="4"/>
        <v>23625000</v>
      </c>
    </row>
    <row r="31" spans="1:21">
      <c r="A31" s="3" t="s">
        <v>301</v>
      </c>
      <c r="B31" s="3" t="s">
        <v>454</v>
      </c>
      <c r="C31" s="8">
        <v>3000</v>
      </c>
      <c r="D31" s="8">
        <f t="shared" si="0"/>
        <v>750</v>
      </c>
      <c r="E31" s="7">
        <v>5</v>
      </c>
      <c r="F31" s="40">
        <v>12</v>
      </c>
      <c r="G31" s="40">
        <f t="shared" si="1"/>
        <v>2.4</v>
      </c>
      <c r="H31" s="40">
        <v>5</v>
      </c>
      <c r="I31" s="7" t="s">
        <v>92</v>
      </c>
      <c r="J31" s="40">
        <f>(I5)</f>
        <v>1050</v>
      </c>
      <c r="K31" s="40">
        <f t="shared" si="5"/>
        <v>12600</v>
      </c>
      <c r="L31" s="39">
        <v>42</v>
      </c>
      <c r="M31" s="39">
        <f>(I20)*(K31)</f>
        <v>9450</v>
      </c>
      <c r="O31" s="8">
        <f t="shared" si="2"/>
        <v>19026000</v>
      </c>
      <c r="P31" s="39">
        <f t="shared" si="3"/>
        <v>3108</v>
      </c>
      <c r="Q31" s="39"/>
      <c r="U31" s="38">
        <f t="shared" si="4"/>
        <v>28350000</v>
      </c>
    </row>
    <row r="32" spans="1:21">
      <c r="A32" s="3" t="s">
        <v>302</v>
      </c>
      <c r="B32" s="3" t="s">
        <v>454</v>
      </c>
      <c r="C32" s="8">
        <v>15000</v>
      </c>
      <c r="D32" s="8">
        <f t="shared" si="0"/>
        <v>3750</v>
      </c>
      <c r="E32" s="7">
        <v>5</v>
      </c>
      <c r="F32" s="40">
        <v>12</v>
      </c>
      <c r="G32" s="40">
        <f t="shared" si="1"/>
        <v>2.4</v>
      </c>
      <c r="H32" s="40">
        <v>7500</v>
      </c>
      <c r="I32" s="7">
        <f>(I29/12)</f>
        <v>2.9166666666666665</v>
      </c>
      <c r="J32" s="40">
        <f>(I5)</f>
        <v>1050</v>
      </c>
      <c r="K32" s="40">
        <f>(G32*H32)*(J32)</f>
        <v>18900000</v>
      </c>
      <c r="L32" s="39">
        <v>50</v>
      </c>
      <c r="M32" s="39">
        <f>((I20)*(K32-'NPC Employees'!B10))</f>
        <v>4924999.9999999981</v>
      </c>
      <c r="O32" s="8">
        <f t="shared" si="2"/>
        <v>3000749999.9999695</v>
      </c>
      <c r="P32" s="39">
        <f>(K32-(L32+M32))</f>
        <v>13974950.000000002</v>
      </c>
      <c r="Q32" s="39"/>
      <c r="U32" s="38">
        <f t="shared" si="4"/>
        <v>73874999999.999969</v>
      </c>
    </row>
    <row r="33" spans="1:21">
      <c r="A33" s="3" t="s">
        <v>303</v>
      </c>
      <c r="B33" s="3" t="s">
        <v>454</v>
      </c>
      <c r="C33" s="8">
        <v>15000</v>
      </c>
      <c r="D33" s="8">
        <f t="shared" si="0"/>
        <v>3750</v>
      </c>
      <c r="E33" s="7">
        <v>5</v>
      </c>
      <c r="F33" s="40">
        <v>12</v>
      </c>
      <c r="G33" s="40">
        <f t="shared" si="1"/>
        <v>2.4</v>
      </c>
      <c r="H33" s="40">
        <v>5</v>
      </c>
      <c r="J33" s="40">
        <f>(I5)</f>
        <v>1050</v>
      </c>
      <c r="K33" s="40">
        <f t="shared" si="5"/>
        <v>12600</v>
      </c>
      <c r="L33" s="39">
        <v>10</v>
      </c>
      <c r="M33" s="39">
        <f>(I20)*(K33)</f>
        <v>9450</v>
      </c>
      <c r="O33" s="8">
        <f t="shared" si="2"/>
        <v>94650000</v>
      </c>
      <c r="P33" s="39">
        <f t="shared" si="3"/>
        <v>3140</v>
      </c>
      <c r="Q33" s="39"/>
      <c r="U33" s="38">
        <f t="shared" si="4"/>
        <v>141750000</v>
      </c>
    </row>
    <row r="34" spans="1:21">
      <c r="A34" s="3" t="s">
        <v>304</v>
      </c>
      <c r="B34" s="3" t="s">
        <v>454</v>
      </c>
      <c r="C34" s="8">
        <v>3500</v>
      </c>
      <c r="D34" s="8">
        <f t="shared" si="0"/>
        <v>875</v>
      </c>
      <c r="E34" s="7">
        <v>5</v>
      </c>
      <c r="F34" s="40">
        <v>12</v>
      </c>
      <c r="G34" s="40">
        <f t="shared" si="1"/>
        <v>2.4</v>
      </c>
      <c r="H34" s="40">
        <v>5</v>
      </c>
      <c r="I34" s="7" t="s">
        <v>439</v>
      </c>
      <c r="J34" s="40">
        <f>(I5)</f>
        <v>1050</v>
      </c>
      <c r="K34" s="40">
        <f t="shared" si="5"/>
        <v>12600</v>
      </c>
      <c r="L34" s="39">
        <v>2</v>
      </c>
      <c r="M34" s="39">
        <f>(I20)*(K34)</f>
        <v>9450</v>
      </c>
      <c r="O34" s="8">
        <f t="shared" si="2"/>
        <v>22057000</v>
      </c>
      <c r="P34" s="39">
        <f t="shared" si="3"/>
        <v>3148</v>
      </c>
      <c r="Q34" s="39"/>
      <c r="U34" s="38">
        <f t="shared" si="4"/>
        <v>33075000</v>
      </c>
    </row>
    <row r="35" spans="1:21">
      <c r="A35" s="3" t="s">
        <v>305</v>
      </c>
      <c r="B35" s="3" t="s">
        <v>454</v>
      </c>
      <c r="C35" s="8">
        <v>17000</v>
      </c>
      <c r="D35" s="8">
        <f t="shared" si="0"/>
        <v>4250</v>
      </c>
      <c r="E35" s="7">
        <v>5</v>
      </c>
      <c r="F35" s="40">
        <v>12</v>
      </c>
      <c r="G35" s="40">
        <f t="shared" si="1"/>
        <v>2.4</v>
      </c>
      <c r="H35" s="40">
        <v>5</v>
      </c>
      <c r="I35" s="7">
        <v>25</v>
      </c>
      <c r="J35" s="40">
        <f>(I5)</f>
        <v>1050</v>
      </c>
      <c r="K35" s="40">
        <f t="shared" si="5"/>
        <v>12600</v>
      </c>
      <c r="L35" s="39"/>
      <c r="M35" s="39">
        <f>(I20)*(K35)</f>
        <v>9450</v>
      </c>
      <c r="O35" s="8">
        <f t="shared" si="2"/>
        <v>107100000</v>
      </c>
      <c r="P35" s="39">
        <f t="shared" si="3"/>
        <v>3150</v>
      </c>
      <c r="Q35" s="39"/>
      <c r="U35" s="38">
        <f t="shared" si="4"/>
        <v>160650000</v>
      </c>
    </row>
    <row r="36" spans="1:21">
      <c r="A36" s="3" t="s">
        <v>308</v>
      </c>
      <c r="B36" s="3" t="s">
        <v>306</v>
      </c>
      <c r="C36" s="8">
        <v>275000</v>
      </c>
      <c r="D36" s="8">
        <f t="shared" si="0"/>
        <v>68750</v>
      </c>
      <c r="E36" s="7">
        <v>12</v>
      </c>
      <c r="F36" s="40">
        <v>12</v>
      </c>
      <c r="G36" s="40">
        <f t="shared" si="1"/>
        <v>1</v>
      </c>
      <c r="H36" s="40">
        <v>5</v>
      </c>
      <c r="J36" s="40">
        <f>(I5)</f>
        <v>1050</v>
      </c>
      <c r="K36" s="40">
        <f t="shared" si="5"/>
        <v>5250</v>
      </c>
      <c r="L36" s="39"/>
      <c r="M36" s="39">
        <f>(I20)*(K36)</f>
        <v>3937.5</v>
      </c>
      <c r="O36" s="8">
        <f t="shared" si="2"/>
        <v>721875000</v>
      </c>
      <c r="P36" s="39">
        <f t="shared" si="3"/>
        <v>1312.5</v>
      </c>
      <c r="Q36" s="39"/>
      <c r="U36" s="38">
        <f t="shared" si="4"/>
        <v>1082812500</v>
      </c>
    </row>
    <row r="37" spans="1:21">
      <c r="A37" s="3" t="s">
        <v>309</v>
      </c>
      <c r="B37" s="3" t="s">
        <v>306</v>
      </c>
      <c r="C37" s="8">
        <v>95000</v>
      </c>
      <c r="D37" s="8">
        <f t="shared" si="0"/>
        <v>23750</v>
      </c>
      <c r="E37" s="7">
        <v>12</v>
      </c>
      <c r="F37" s="40">
        <v>12</v>
      </c>
      <c r="G37" s="40">
        <f t="shared" si="1"/>
        <v>1</v>
      </c>
      <c r="H37" s="40">
        <v>5</v>
      </c>
      <c r="J37" s="40">
        <f>(I5)</f>
        <v>1050</v>
      </c>
      <c r="K37" s="40">
        <f t="shared" si="5"/>
        <v>5250</v>
      </c>
      <c r="L37" s="39"/>
      <c r="M37" s="39">
        <f>(I20)*(K37)</f>
        <v>3937.5</v>
      </c>
      <c r="O37" s="8">
        <f t="shared" si="2"/>
        <v>249375000</v>
      </c>
      <c r="P37" s="39">
        <f t="shared" si="3"/>
        <v>1312.5</v>
      </c>
      <c r="Q37" s="39"/>
      <c r="U37" s="38">
        <f t="shared" si="4"/>
        <v>374062500</v>
      </c>
    </row>
    <row r="38" spans="1:21">
      <c r="A38" s="3" t="s">
        <v>310</v>
      </c>
      <c r="B38" s="3" t="s">
        <v>363</v>
      </c>
      <c r="C38" s="8">
        <v>275000</v>
      </c>
      <c r="D38" s="8">
        <f t="shared" si="0"/>
        <v>68750</v>
      </c>
      <c r="E38" s="7">
        <v>24</v>
      </c>
      <c r="F38" s="40">
        <v>12</v>
      </c>
      <c r="G38" s="40">
        <f>(F38/E38)</f>
        <v>0.5</v>
      </c>
      <c r="H38" s="40">
        <v>5</v>
      </c>
      <c r="J38" s="40">
        <f>(I5)</f>
        <v>1050</v>
      </c>
      <c r="K38" s="40">
        <f>(G38*H38)*(J38)</f>
        <v>2625</v>
      </c>
      <c r="L38" s="39">
        <v>2</v>
      </c>
      <c r="M38" s="39">
        <f>(I20)*(K38)</f>
        <v>1968.75</v>
      </c>
      <c r="O38" s="8">
        <f t="shared" si="2"/>
        <v>361487500</v>
      </c>
      <c r="P38" s="39">
        <f t="shared" si="3"/>
        <v>654.25</v>
      </c>
      <c r="Q38" s="39"/>
      <c r="U38" s="38">
        <f t="shared" si="4"/>
        <v>541406250</v>
      </c>
    </row>
    <row r="39" spans="1:21">
      <c r="A39" s="3" t="s">
        <v>311</v>
      </c>
      <c r="B39" s="3" t="s">
        <v>306</v>
      </c>
      <c r="C39" s="8">
        <v>22000000</v>
      </c>
      <c r="D39" s="8">
        <f t="shared" si="0"/>
        <v>5500000</v>
      </c>
      <c r="E39" s="7">
        <v>12</v>
      </c>
      <c r="F39" s="40">
        <v>12</v>
      </c>
      <c r="G39" s="40">
        <f t="shared" si="1"/>
        <v>1</v>
      </c>
      <c r="H39" s="40">
        <v>5</v>
      </c>
      <c r="J39" s="40">
        <f>(I35)</f>
        <v>25</v>
      </c>
      <c r="K39" s="40">
        <f>(G39*H39)*(J39)</f>
        <v>125</v>
      </c>
      <c r="L39" s="39">
        <v>30</v>
      </c>
      <c r="M39" s="39">
        <f>(I20)*(K39)</f>
        <v>93.75</v>
      </c>
      <c r="O39" s="8">
        <f t="shared" si="2"/>
        <v>2035000000</v>
      </c>
      <c r="P39" s="39">
        <f t="shared" si="3"/>
        <v>1.25</v>
      </c>
      <c r="Q39" s="39"/>
      <c r="U39" s="38">
        <f t="shared" si="4"/>
        <v>2062500000</v>
      </c>
    </row>
    <row r="40" spans="1:21">
      <c r="A40" s="3" t="s">
        <v>313</v>
      </c>
      <c r="B40" s="3" t="s">
        <v>307</v>
      </c>
      <c r="C40" s="8">
        <v>45000</v>
      </c>
      <c r="D40" s="8">
        <f t="shared" si="0"/>
        <v>11250</v>
      </c>
      <c r="E40" s="7">
        <v>12</v>
      </c>
      <c r="F40" s="40">
        <v>12</v>
      </c>
      <c r="G40" s="40">
        <f t="shared" si="1"/>
        <v>1</v>
      </c>
      <c r="H40" s="40">
        <v>5</v>
      </c>
      <c r="J40" s="40">
        <f>(I5)</f>
        <v>1050</v>
      </c>
      <c r="K40" s="40">
        <f t="shared" si="5"/>
        <v>5250</v>
      </c>
      <c r="L40" s="39"/>
      <c r="M40" s="39">
        <f>(I20)*(K40)</f>
        <v>3937.5</v>
      </c>
      <c r="O40" s="8">
        <f t="shared" si="2"/>
        <v>118125000</v>
      </c>
      <c r="P40" s="39">
        <f t="shared" si="3"/>
        <v>1312.5</v>
      </c>
      <c r="Q40" s="39"/>
      <c r="U40" s="38">
        <f t="shared" si="4"/>
        <v>177187500</v>
      </c>
    </row>
    <row r="41" spans="1:21">
      <c r="A41" s="3" t="s">
        <v>312</v>
      </c>
      <c r="B41" s="3" t="s">
        <v>306</v>
      </c>
      <c r="C41" s="8">
        <v>142000</v>
      </c>
      <c r="D41" s="8">
        <f t="shared" si="0"/>
        <v>35500</v>
      </c>
      <c r="E41" s="7">
        <v>12</v>
      </c>
      <c r="F41" s="40">
        <v>12</v>
      </c>
      <c r="G41" s="40">
        <f t="shared" si="1"/>
        <v>1</v>
      </c>
      <c r="H41" s="40">
        <v>5</v>
      </c>
      <c r="J41" s="40">
        <f>(I5)</f>
        <v>1050</v>
      </c>
      <c r="K41" s="40">
        <f t="shared" si="5"/>
        <v>5250</v>
      </c>
      <c r="L41" s="39"/>
      <c r="M41" s="39">
        <f>(I20)*(K41)</f>
        <v>3937.5</v>
      </c>
      <c r="O41" s="8">
        <f t="shared" si="2"/>
        <v>372750000</v>
      </c>
      <c r="P41" s="39">
        <f t="shared" si="3"/>
        <v>1312.5</v>
      </c>
      <c r="Q41" s="39"/>
      <c r="U41" s="38">
        <f t="shared" si="4"/>
        <v>559125000</v>
      </c>
    </row>
    <row r="42" spans="1:21">
      <c r="A42" s="4" t="s">
        <v>346</v>
      </c>
      <c r="B42" s="3" t="s">
        <v>306</v>
      </c>
      <c r="C42" s="8">
        <v>230000</v>
      </c>
      <c r="D42" s="8">
        <f t="shared" si="0"/>
        <v>57500</v>
      </c>
      <c r="E42" s="7">
        <v>12</v>
      </c>
      <c r="F42" s="40">
        <v>12</v>
      </c>
      <c r="G42" s="40">
        <f t="shared" si="1"/>
        <v>1</v>
      </c>
      <c r="H42" s="40">
        <v>5</v>
      </c>
      <c r="J42" s="40">
        <f>(I5)</f>
        <v>1050</v>
      </c>
      <c r="K42" s="40">
        <f t="shared" si="5"/>
        <v>5250</v>
      </c>
      <c r="L42" s="39">
        <v>1</v>
      </c>
      <c r="M42" s="39">
        <f>(I20)*(K42)</f>
        <v>3937.5</v>
      </c>
      <c r="O42" s="8">
        <f t="shared" si="2"/>
        <v>603980000</v>
      </c>
      <c r="P42" s="39">
        <f t="shared" si="3"/>
        <v>1311.5</v>
      </c>
      <c r="Q42" s="39"/>
      <c r="U42" s="38">
        <f t="shared" si="4"/>
        <v>905625000</v>
      </c>
    </row>
    <row r="43" spans="1:21">
      <c r="A43" s="3" t="s">
        <v>347</v>
      </c>
      <c r="B43" s="3" t="s">
        <v>363</v>
      </c>
      <c r="C43" s="8">
        <v>28000</v>
      </c>
      <c r="D43" s="8">
        <f t="shared" si="0"/>
        <v>7000</v>
      </c>
      <c r="E43" s="7">
        <v>24</v>
      </c>
      <c r="F43" s="40">
        <v>12</v>
      </c>
      <c r="G43" s="40">
        <f t="shared" si="1"/>
        <v>0.5</v>
      </c>
      <c r="H43" s="40">
        <v>5</v>
      </c>
      <c r="J43" s="40">
        <f>(I5)</f>
        <v>1050</v>
      </c>
      <c r="K43" s="40">
        <f t="shared" si="5"/>
        <v>2625</v>
      </c>
      <c r="L43" s="39"/>
      <c r="M43" s="39">
        <f>(I20)*(K43)</f>
        <v>1968.75</v>
      </c>
      <c r="O43" s="8">
        <f t="shared" si="2"/>
        <v>36750000</v>
      </c>
      <c r="P43" s="39">
        <f t="shared" si="3"/>
        <v>656.25</v>
      </c>
      <c r="Q43" s="39"/>
      <c r="U43" s="38">
        <f t="shared" si="4"/>
        <v>55125000</v>
      </c>
    </row>
    <row r="44" spans="1:21">
      <c r="A44" s="3" t="s">
        <v>348</v>
      </c>
      <c r="B44" s="3" t="s">
        <v>306</v>
      </c>
      <c r="C44" s="8">
        <v>110000</v>
      </c>
      <c r="D44" s="8">
        <f t="shared" si="0"/>
        <v>27500</v>
      </c>
      <c r="E44" s="7">
        <v>12</v>
      </c>
      <c r="F44" s="40">
        <v>12</v>
      </c>
      <c r="G44" s="40">
        <f t="shared" si="1"/>
        <v>1</v>
      </c>
      <c r="H44" s="40">
        <v>5</v>
      </c>
      <c r="J44" s="40">
        <f>(I5)</f>
        <v>1050</v>
      </c>
      <c r="K44" s="40">
        <f t="shared" si="5"/>
        <v>5250</v>
      </c>
      <c r="L44" s="39"/>
      <c r="M44" s="39">
        <f>(I20)*(K44)</f>
        <v>3937.5</v>
      </c>
      <c r="O44" s="8">
        <f t="shared" si="2"/>
        <v>288750000</v>
      </c>
      <c r="P44" s="39">
        <f t="shared" si="3"/>
        <v>1312.5</v>
      </c>
      <c r="Q44" s="39"/>
      <c r="U44" s="38">
        <f t="shared" si="4"/>
        <v>433125000</v>
      </c>
    </row>
    <row r="45" spans="1:21">
      <c r="A45" s="3" t="s">
        <v>349</v>
      </c>
      <c r="B45" s="3" t="s">
        <v>363</v>
      </c>
      <c r="C45" s="8">
        <v>125000</v>
      </c>
      <c r="D45" s="8">
        <f t="shared" si="0"/>
        <v>31250</v>
      </c>
      <c r="E45" s="7">
        <v>24</v>
      </c>
      <c r="F45" s="40">
        <v>12</v>
      </c>
      <c r="G45" s="40">
        <f t="shared" si="1"/>
        <v>0.5</v>
      </c>
      <c r="H45" s="40">
        <v>5</v>
      </c>
      <c r="J45" s="40">
        <f>(I5)</f>
        <v>1050</v>
      </c>
      <c r="K45" s="40">
        <f t="shared" si="5"/>
        <v>2625</v>
      </c>
      <c r="L45" s="39"/>
      <c r="M45" s="39">
        <f>(I20)*(K45)</f>
        <v>1968.75</v>
      </c>
      <c r="O45" s="8">
        <f t="shared" si="2"/>
        <v>164062500</v>
      </c>
      <c r="P45" s="39">
        <f t="shared" si="3"/>
        <v>656.25</v>
      </c>
      <c r="Q45" s="39"/>
      <c r="U45" s="38">
        <f t="shared" si="4"/>
        <v>246093750</v>
      </c>
    </row>
    <row r="46" spans="1:21">
      <c r="A46" s="3" t="s">
        <v>350</v>
      </c>
      <c r="B46" s="3" t="s">
        <v>363</v>
      </c>
      <c r="C46" s="8">
        <v>450000</v>
      </c>
      <c r="D46" s="8">
        <f t="shared" si="0"/>
        <v>112500</v>
      </c>
      <c r="E46" s="7">
        <v>24</v>
      </c>
      <c r="F46" s="40">
        <v>12</v>
      </c>
      <c r="G46" s="40">
        <f t="shared" si="1"/>
        <v>0.5</v>
      </c>
      <c r="H46" s="40">
        <v>5</v>
      </c>
      <c r="J46" s="40">
        <f>(I5)</f>
        <v>1050</v>
      </c>
      <c r="K46" s="40">
        <f t="shared" si="5"/>
        <v>2625</v>
      </c>
      <c r="L46" s="39"/>
      <c r="M46" s="39">
        <f>(I20)*(K46)</f>
        <v>1968.75</v>
      </c>
      <c r="O46" s="8">
        <f t="shared" si="2"/>
        <v>590625000</v>
      </c>
      <c r="P46" s="39">
        <f t="shared" si="3"/>
        <v>656.25</v>
      </c>
      <c r="Q46" s="39"/>
      <c r="U46" s="38">
        <f t="shared" si="4"/>
        <v>885937500</v>
      </c>
    </row>
    <row r="47" spans="1:21">
      <c r="A47" s="3" t="s">
        <v>351</v>
      </c>
      <c r="B47" s="3" t="s">
        <v>306</v>
      </c>
      <c r="C47" s="8">
        <v>310000</v>
      </c>
      <c r="D47" s="8">
        <f t="shared" si="0"/>
        <v>77500</v>
      </c>
      <c r="E47" s="7">
        <v>12</v>
      </c>
      <c r="F47" s="40">
        <v>12</v>
      </c>
      <c r="G47" s="40">
        <f t="shared" si="1"/>
        <v>1</v>
      </c>
      <c r="H47" s="40">
        <v>5</v>
      </c>
      <c r="J47" s="40">
        <f>(I5)</f>
        <v>1050</v>
      </c>
      <c r="K47" s="40">
        <f t="shared" si="5"/>
        <v>5250</v>
      </c>
      <c r="L47" s="39"/>
      <c r="M47" s="39">
        <f>(I20)*(K47)</f>
        <v>3937.5</v>
      </c>
      <c r="O47" s="8">
        <f t="shared" si="2"/>
        <v>813750000</v>
      </c>
      <c r="P47" s="39">
        <f t="shared" si="3"/>
        <v>1312.5</v>
      </c>
      <c r="Q47" s="39"/>
      <c r="U47" s="38">
        <f t="shared" si="4"/>
        <v>1220625000</v>
      </c>
    </row>
    <row r="48" spans="1:21">
      <c r="A48" s="3" t="s">
        <v>352</v>
      </c>
      <c r="B48" s="3" t="s">
        <v>306</v>
      </c>
      <c r="C48" s="8">
        <v>22500</v>
      </c>
      <c r="D48" s="8">
        <f t="shared" si="0"/>
        <v>5625</v>
      </c>
      <c r="E48" s="7">
        <v>12</v>
      </c>
      <c r="F48" s="40">
        <v>12</v>
      </c>
      <c r="G48" s="40">
        <f t="shared" si="1"/>
        <v>1</v>
      </c>
      <c r="H48" s="40">
        <v>5</v>
      </c>
      <c r="J48" s="40">
        <f>(I5)</f>
        <v>1050</v>
      </c>
      <c r="K48" s="40">
        <f t="shared" si="5"/>
        <v>5250</v>
      </c>
      <c r="L48" s="39"/>
      <c r="M48" s="39">
        <f>(I20)*(K48)</f>
        <v>3937.5</v>
      </c>
      <c r="O48" s="8">
        <f t="shared" si="2"/>
        <v>59062500</v>
      </c>
      <c r="P48" s="39">
        <f t="shared" si="3"/>
        <v>1312.5</v>
      </c>
      <c r="Q48" s="39"/>
      <c r="U48" s="38">
        <f t="shared" si="4"/>
        <v>88593750</v>
      </c>
    </row>
    <row r="49" spans="1:21">
      <c r="A49" s="3" t="s">
        <v>353</v>
      </c>
      <c r="B49" s="3" t="s">
        <v>306</v>
      </c>
      <c r="C49" s="8">
        <v>30000</v>
      </c>
      <c r="D49" s="8">
        <f t="shared" si="0"/>
        <v>7500</v>
      </c>
      <c r="E49" s="7">
        <v>12</v>
      </c>
      <c r="F49" s="40">
        <v>12</v>
      </c>
      <c r="G49" s="40">
        <f t="shared" si="1"/>
        <v>1</v>
      </c>
      <c r="H49" s="40">
        <v>5</v>
      </c>
      <c r="J49" s="40">
        <f>(I5)</f>
        <v>1050</v>
      </c>
      <c r="K49" s="40">
        <f t="shared" si="5"/>
        <v>5250</v>
      </c>
      <c r="L49" s="39">
        <v>6</v>
      </c>
      <c r="M49" s="39">
        <f>(I20)*(K49)</f>
        <v>3937.5</v>
      </c>
      <c r="O49" s="8">
        <f t="shared" si="2"/>
        <v>78930000</v>
      </c>
      <c r="P49" s="39">
        <f t="shared" si="3"/>
        <v>1306.5</v>
      </c>
      <c r="Q49" s="39"/>
      <c r="U49" s="38">
        <f t="shared" si="4"/>
        <v>118125000</v>
      </c>
    </row>
    <row r="50" spans="1:21">
      <c r="A50" s="3" t="s">
        <v>354</v>
      </c>
      <c r="B50" s="3" t="s">
        <v>306</v>
      </c>
      <c r="C50" s="8">
        <v>110000</v>
      </c>
      <c r="D50" s="8">
        <f t="shared" si="0"/>
        <v>27500</v>
      </c>
      <c r="E50" s="7">
        <v>12</v>
      </c>
      <c r="F50" s="40">
        <v>12</v>
      </c>
      <c r="G50" s="40">
        <f t="shared" si="1"/>
        <v>1</v>
      </c>
      <c r="H50" s="40">
        <v>5</v>
      </c>
      <c r="J50" s="40">
        <f>(I5)</f>
        <v>1050</v>
      </c>
      <c r="K50" s="40">
        <f t="shared" si="5"/>
        <v>5250</v>
      </c>
      <c r="L50" s="39"/>
      <c r="M50" s="39">
        <f>(I20)*(K50)</f>
        <v>3937.5</v>
      </c>
      <c r="O50" s="8">
        <f t="shared" si="2"/>
        <v>288750000</v>
      </c>
      <c r="P50" s="39">
        <f t="shared" si="3"/>
        <v>1312.5</v>
      </c>
      <c r="Q50" s="39"/>
      <c r="U50" s="38">
        <f t="shared" si="4"/>
        <v>433125000</v>
      </c>
    </row>
    <row r="51" spans="1:21">
      <c r="A51" s="3" t="s">
        <v>355</v>
      </c>
      <c r="B51" s="3" t="s">
        <v>306</v>
      </c>
      <c r="C51" s="8">
        <v>35000</v>
      </c>
      <c r="D51" s="8">
        <f t="shared" si="0"/>
        <v>8750</v>
      </c>
      <c r="E51" s="7">
        <v>12</v>
      </c>
      <c r="F51" s="40">
        <v>12</v>
      </c>
      <c r="G51" s="40">
        <f t="shared" si="1"/>
        <v>1</v>
      </c>
      <c r="H51" s="40">
        <v>5</v>
      </c>
      <c r="J51" s="40">
        <f>(I5)</f>
        <v>1050</v>
      </c>
      <c r="K51" s="40">
        <f t="shared" si="5"/>
        <v>5250</v>
      </c>
      <c r="L51" s="39"/>
      <c r="M51" s="39">
        <f>(I20)*(K51)</f>
        <v>3937.5</v>
      </c>
      <c r="O51" s="8">
        <f t="shared" si="2"/>
        <v>91875000</v>
      </c>
      <c r="P51" s="39">
        <f t="shared" si="3"/>
        <v>1312.5</v>
      </c>
      <c r="Q51" s="39"/>
      <c r="U51" s="38">
        <f t="shared" si="4"/>
        <v>137812500</v>
      </c>
    </row>
    <row r="52" spans="1:21">
      <c r="A52" s="3" t="s">
        <v>356</v>
      </c>
      <c r="B52" s="3" t="s">
        <v>307</v>
      </c>
      <c r="C52" s="8">
        <v>120000</v>
      </c>
      <c r="D52" s="8">
        <f t="shared" si="0"/>
        <v>30000</v>
      </c>
      <c r="E52" s="7">
        <v>12</v>
      </c>
      <c r="F52" s="40">
        <v>12</v>
      </c>
      <c r="G52" s="40">
        <f t="shared" si="1"/>
        <v>1</v>
      </c>
      <c r="H52" s="40">
        <v>5</v>
      </c>
      <c r="J52" s="40">
        <f>(I5)</f>
        <v>1050</v>
      </c>
      <c r="K52" s="40">
        <f t="shared" si="5"/>
        <v>5250</v>
      </c>
      <c r="L52" s="39"/>
      <c r="M52" s="39">
        <f>(I20)*(K52)</f>
        <v>3937.5</v>
      </c>
      <c r="O52" s="8">
        <f t="shared" si="2"/>
        <v>315000000</v>
      </c>
      <c r="P52" s="39">
        <f t="shared" si="3"/>
        <v>1312.5</v>
      </c>
      <c r="Q52" s="39"/>
      <c r="U52" s="38">
        <f t="shared" si="4"/>
        <v>472500000</v>
      </c>
    </row>
    <row r="53" spans="1:21">
      <c r="A53" s="3" t="s">
        <v>357</v>
      </c>
      <c r="B53" s="3" t="s">
        <v>306</v>
      </c>
      <c r="C53" s="8">
        <v>250000</v>
      </c>
      <c r="D53" s="8">
        <f t="shared" si="0"/>
        <v>62500</v>
      </c>
      <c r="E53" s="7">
        <v>12</v>
      </c>
      <c r="F53" s="40">
        <v>12</v>
      </c>
      <c r="G53" s="40">
        <f t="shared" si="1"/>
        <v>1</v>
      </c>
      <c r="H53" s="40">
        <v>5</v>
      </c>
      <c r="J53" s="40">
        <f>(I5)</f>
        <v>1050</v>
      </c>
      <c r="K53" s="40">
        <f t="shared" si="5"/>
        <v>5250</v>
      </c>
      <c r="L53" s="39">
        <v>1</v>
      </c>
      <c r="M53" s="39">
        <f>(I20)*(K53)</f>
        <v>3937.5</v>
      </c>
      <c r="O53" s="8">
        <f t="shared" si="2"/>
        <v>656500000</v>
      </c>
      <c r="P53" s="39">
        <f t="shared" si="3"/>
        <v>1311.5</v>
      </c>
      <c r="Q53" s="39"/>
      <c r="U53" s="38">
        <f t="shared" si="4"/>
        <v>984375000</v>
      </c>
    </row>
    <row r="54" spans="1:21">
      <c r="A54" s="3" t="s">
        <v>358</v>
      </c>
      <c r="B54" s="3" t="s">
        <v>306</v>
      </c>
      <c r="C54" s="8">
        <v>50000</v>
      </c>
      <c r="D54" s="8">
        <f t="shared" si="0"/>
        <v>12500</v>
      </c>
      <c r="E54" s="7">
        <v>12</v>
      </c>
      <c r="F54" s="40">
        <v>12</v>
      </c>
      <c r="G54" s="40">
        <f t="shared" si="1"/>
        <v>1</v>
      </c>
      <c r="H54" s="40">
        <v>5</v>
      </c>
      <c r="J54" s="40">
        <f>(I5)</f>
        <v>1050</v>
      </c>
      <c r="K54" s="40">
        <f t="shared" si="5"/>
        <v>5250</v>
      </c>
      <c r="L54" s="39"/>
      <c r="M54" s="39">
        <f>(I20)*(K54)</f>
        <v>3937.5</v>
      </c>
      <c r="O54" s="8">
        <f t="shared" si="2"/>
        <v>131250000</v>
      </c>
      <c r="P54" s="39">
        <f t="shared" si="3"/>
        <v>1312.5</v>
      </c>
      <c r="Q54" s="39"/>
      <c r="U54" s="38">
        <f t="shared" si="4"/>
        <v>196875000</v>
      </c>
    </row>
    <row r="55" spans="1:21">
      <c r="A55" s="3" t="s">
        <v>359</v>
      </c>
      <c r="B55" s="3" t="s">
        <v>307</v>
      </c>
      <c r="C55" s="8">
        <v>84000</v>
      </c>
      <c r="D55" s="8">
        <f t="shared" si="0"/>
        <v>21000</v>
      </c>
      <c r="E55" s="7">
        <v>12</v>
      </c>
      <c r="F55" s="40">
        <v>12</v>
      </c>
      <c r="G55" s="40">
        <f t="shared" si="1"/>
        <v>1</v>
      </c>
      <c r="H55" s="40">
        <v>5</v>
      </c>
      <c r="J55" s="40">
        <f>(I5)</f>
        <v>1050</v>
      </c>
      <c r="K55" s="40">
        <f t="shared" si="5"/>
        <v>5250</v>
      </c>
      <c r="L55" s="39">
        <v>515</v>
      </c>
      <c r="M55" s="39">
        <f>(I20)*(K55)</f>
        <v>3937.5</v>
      </c>
      <c r="O55" s="8">
        <f t="shared" si="2"/>
        <v>263760000</v>
      </c>
      <c r="P55" s="39">
        <f t="shared" si="3"/>
        <v>797.5</v>
      </c>
      <c r="Q55" s="39"/>
      <c r="U55" s="38">
        <f t="shared" si="4"/>
        <v>330750000</v>
      </c>
    </row>
    <row r="56" spans="1:21">
      <c r="A56" s="3" t="s">
        <v>360</v>
      </c>
      <c r="B56" s="3" t="s">
        <v>363</v>
      </c>
      <c r="C56" s="8">
        <v>20000000</v>
      </c>
      <c r="D56" s="8">
        <f t="shared" si="0"/>
        <v>5000000</v>
      </c>
      <c r="E56" s="7">
        <v>24</v>
      </c>
      <c r="F56" s="40">
        <v>12</v>
      </c>
      <c r="G56" s="40">
        <f t="shared" si="1"/>
        <v>0.5</v>
      </c>
      <c r="H56" s="40">
        <v>5</v>
      </c>
      <c r="J56" s="40">
        <f>(I14)</f>
        <v>60</v>
      </c>
      <c r="K56" s="40">
        <f t="shared" si="5"/>
        <v>150</v>
      </c>
      <c r="L56" s="39">
        <v>7</v>
      </c>
      <c r="M56" s="39">
        <f>(I23)*(K56)</f>
        <v>90</v>
      </c>
      <c r="O56" s="8">
        <f t="shared" si="2"/>
        <v>1190000000</v>
      </c>
      <c r="P56" s="39">
        <f t="shared" si="3"/>
        <v>53</v>
      </c>
      <c r="Q56" s="39"/>
      <c r="U56" s="38">
        <f t="shared" si="4"/>
        <v>1800000000</v>
      </c>
    </row>
    <row r="57" spans="1:21">
      <c r="A57" s="3" t="s">
        <v>361</v>
      </c>
      <c r="B57" s="3" t="s">
        <v>306</v>
      </c>
      <c r="C57" s="8">
        <v>250000</v>
      </c>
      <c r="D57" s="8">
        <f t="shared" si="0"/>
        <v>62500</v>
      </c>
      <c r="E57" s="7">
        <v>12</v>
      </c>
      <c r="F57" s="40">
        <v>12</v>
      </c>
      <c r="G57" s="40">
        <f t="shared" si="1"/>
        <v>1</v>
      </c>
      <c r="H57" s="40">
        <v>5</v>
      </c>
      <c r="J57" s="40">
        <f>(I5)</f>
        <v>1050</v>
      </c>
      <c r="K57" s="40">
        <f t="shared" si="5"/>
        <v>5250</v>
      </c>
      <c r="L57" s="39"/>
      <c r="M57" s="39">
        <f>(I20)*(K57)</f>
        <v>3937.5</v>
      </c>
      <c r="O57" s="8">
        <f t="shared" si="2"/>
        <v>656250000</v>
      </c>
      <c r="P57" s="39">
        <f t="shared" si="3"/>
        <v>1312.5</v>
      </c>
      <c r="Q57" s="39"/>
      <c r="U57" s="38">
        <f t="shared" si="4"/>
        <v>984375000</v>
      </c>
    </row>
    <row r="58" spans="1:21">
      <c r="A58" s="3" t="s">
        <v>362</v>
      </c>
      <c r="B58" s="3" t="s">
        <v>306</v>
      </c>
      <c r="C58" s="8">
        <v>32050</v>
      </c>
      <c r="D58" s="8">
        <f t="shared" si="0"/>
        <v>8012.5</v>
      </c>
      <c r="E58" s="7">
        <v>12</v>
      </c>
      <c r="F58" s="40">
        <v>12</v>
      </c>
      <c r="G58" s="40">
        <f t="shared" si="1"/>
        <v>1</v>
      </c>
      <c r="H58" s="40">
        <v>5</v>
      </c>
      <c r="J58" s="40">
        <f>(I5)</f>
        <v>1050</v>
      </c>
      <c r="K58" s="40">
        <f t="shared" si="5"/>
        <v>5250</v>
      </c>
      <c r="L58" s="39"/>
      <c r="M58" s="39">
        <f>(I20)*(K58)</f>
        <v>3937.5</v>
      </c>
      <c r="O58" s="8">
        <f t="shared" si="2"/>
        <v>84131250</v>
      </c>
      <c r="P58" s="39">
        <f t="shared" si="3"/>
        <v>1312.5</v>
      </c>
      <c r="Q58" s="39"/>
      <c r="U58" s="38">
        <f t="shared" si="4"/>
        <v>126196875</v>
      </c>
    </row>
    <row r="59" spans="1:21">
      <c r="A59" s="3" t="s">
        <v>364</v>
      </c>
      <c r="B59" s="3" t="s">
        <v>365</v>
      </c>
      <c r="C59" s="8">
        <v>13000</v>
      </c>
      <c r="D59" s="8">
        <f t="shared" si="0"/>
        <v>3250</v>
      </c>
      <c r="E59" s="7">
        <v>3</v>
      </c>
      <c r="F59" s="40">
        <v>12</v>
      </c>
      <c r="G59" s="40">
        <f t="shared" si="1"/>
        <v>4</v>
      </c>
      <c r="H59" s="40">
        <v>5</v>
      </c>
      <c r="J59" s="40">
        <f>(I5)</f>
        <v>1050</v>
      </c>
      <c r="K59" s="40">
        <f t="shared" si="5"/>
        <v>21000</v>
      </c>
      <c r="L59" s="39"/>
      <c r="M59" s="39">
        <f>(I20)*(K59)</f>
        <v>15750</v>
      </c>
      <c r="O59" s="8">
        <f t="shared" si="2"/>
        <v>136500000</v>
      </c>
      <c r="P59" s="39">
        <f t="shared" si="3"/>
        <v>5250</v>
      </c>
      <c r="Q59" s="39"/>
      <c r="U59" s="38">
        <f t="shared" si="4"/>
        <v>204750000</v>
      </c>
    </row>
    <row r="60" spans="1:21">
      <c r="A60" s="3" t="s">
        <v>338</v>
      </c>
      <c r="B60" s="3" t="s">
        <v>365</v>
      </c>
      <c r="C60" s="8">
        <v>13000</v>
      </c>
      <c r="D60" s="8">
        <f t="shared" si="0"/>
        <v>3250</v>
      </c>
      <c r="E60" s="7">
        <v>3</v>
      </c>
      <c r="F60" s="40">
        <v>12</v>
      </c>
      <c r="G60" s="40">
        <f t="shared" si="1"/>
        <v>4</v>
      </c>
      <c r="H60" s="40">
        <v>5</v>
      </c>
      <c r="J60" s="40">
        <f>(I5)</f>
        <v>1050</v>
      </c>
      <c r="K60" s="40">
        <f t="shared" si="5"/>
        <v>21000</v>
      </c>
      <c r="L60" s="39"/>
      <c r="M60" s="39">
        <f>(I20)*(K60)</f>
        <v>15750</v>
      </c>
      <c r="O60" s="8">
        <f t="shared" si="2"/>
        <v>136500000</v>
      </c>
      <c r="P60" s="39">
        <f t="shared" si="3"/>
        <v>5250</v>
      </c>
      <c r="Q60" s="39"/>
      <c r="U60" s="38">
        <f t="shared" si="4"/>
        <v>204750000</v>
      </c>
    </row>
    <row r="61" spans="1:21">
      <c r="A61" s="3" t="s">
        <v>339</v>
      </c>
      <c r="B61" s="3" t="s">
        <v>365</v>
      </c>
      <c r="C61" s="8">
        <v>40000</v>
      </c>
      <c r="D61" s="8">
        <f t="shared" si="0"/>
        <v>10000</v>
      </c>
      <c r="E61" s="7">
        <v>3</v>
      </c>
      <c r="F61" s="40">
        <v>12</v>
      </c>
      <c r="G61" s="40">
        <f t="shared" si="1"/>
        <v>4</v>
      </c>
      <c r="H61" s="40">
        <v>5</v>
      </c>
      <c r="J61" s="40">
        <f>(I5)</f>
        <v>1050</v>
      </c>
      <c r="K61" s="40">
        <f t="shared" si="5"/>
        <v>21000</v>
      </c>
      <c r="L61" s="39"/>
      <c r="M61" s="39">
        <f>(I20)*(K61)</f>
        <v>15750</v>
      </c>
      <c r="O61" s="8">
        <f t="shared" si="2"/>
        <v>420000000</v>
      </c>
      <c r="P61" s="39">
        <f t="shared" si="3"/>
        <v>5250</v>
      </c>
      <c r="Q61" s="39"/>
      <c r="U61" s="38">
        <f t="shared" si="4"/>
        <v>630000000</v>
      </c>
    </row>
    <row r="62" spans="1:21">
      <c r="A62" s="3" t="s">
        <v>340</v>
      </c>
      <c r="B62" s="3" t="s">
        <v>365</v>
      </c>
      <c r="C62" s="8">
        <v>9000</v>
      </c>
      <c r="D62" s="8">
        <f t="shared" si="0"/>
        <v>2250</v>
      </c>
      <c r="E62" s="7">
        <v>3</v>
      </c>
      <c r="F62" s="40">
        <v>12</v>
      </c>
      <c r="G62" s="40">
        <f t="shared" si="1"/>
        <v>4</v>
      </c>
      <c r="H62" s="40">
        <v>5</v>
      </c>
      <c r="J62" s="40">
        <f>(I5)</f>
        <v>1050</v>
      </c>
      <c r="K62" s="40">
        <f t="shared" si="5"/>
        <v>21000</v>
      </c>
      <c r="L62" s="39"/>
      <c r="M62" s="39">
        <f>(I20)*(K62)</f>
        <v>15750</v>
      </c>
      <c r="O62" s="8">
        <f t="shared" si="2"/>
        <v>94500000</v>
      </c>
      <c r="P62" s="39">
        <f t="shared" si="3"/>
        <v>5250</v>
      </c>
      <c r="Q62" s="39"/>
      <c r="U62" s="38">
        <f t="shared" si="4"/>
        <v>141750000</v>
      </c>
    </row>
    <row r="63" spans="1:21">
      <c r="A63" s="3" t="s">
        <v>432</v>
      </c>
      <c r="B63" s="3" t="s">
        <v>365</v>
      </c>
      <c r="C63" s="8">
        <v>12000</v>
      </c>
      <c r="D63" s="8">
        <f t="shared" si="0"/>
        <v>3000</v>
      </c>
      <c r="E63" s="7">
        <v>3</v>
      </c>
      <c r="F63" s="40">
        <v>12</v>
      </c>
      <c r="G63" s="40">
        <f t="shared" si="1"/>
        <v>4</v>
      </c>
      <c r="H63" s="40">
        <v>5</v>
      </c>
      <c r="J63" s="40">
        <f>(I5)</f>
        <v>1050</v>
      </c>
      <c r="K63" s="40">
        <f t="shared" si="5"/>
        <v>21000</v>
      </c>
      <c r="L63" s="39"/>
      <c r="M63" s="39">
        <f>(I20)*(K63)</f>
        <v>15750</v>
      </c>
      <c r="O63" s="8">
        <f t="shared" si="2"/>
        <v>126000000</v>
      </c>
      <c r="P63" s="39">
        <f t="shared" si="3"/>
        <v>5250</v>
      </c>
      <c r="Q63" s="39"/>
      <c r="U63" s="38">
        <f t="shared" si="4"/>
        <v>189000000</v>
      </c>
    </row>
    <row r="64" spans="1:21">
      <c r="A64" s="3" t="s">
        <v>433</v>
      </c>
      <c r="B64" s="3" t="s">
        <v>365</v>
      </c>
      <c r="C64" s="8">
        <v>12000</v>
      </c>
      <c r="D64" s="8">
        <f t="shared" si="0"/>
        <v>3000</v>
      </c>
      <c r="E64" s="7">
        <v>3</v>
      </c>
      <c r="F64" s="40">
        <v>12</v>
      </c>
      <c r="G64" s="40">
        <f t="shared" si="1"/>
        <v>4</v>
      </c>
      <c r="H64" s="40">
        <v>5</v>
      </c>
      <c r="J64" s="40">
        <f>(I5)</f>
        <v>1050</v>
      </c>
      <c r="K64" s="40">
        <f t="shared" si="5"/>
        <v>21000</v>
      </c>
      <c r="L64" s="39"/>
      <c r="M64" s="39">
        <f>(I20)*(K64)</f>
        <v>15750</v>
      </c>
      <c r="O64" s="8">
        <f t="shared" si="2"/>
        <v>126000000</v>
      </c>
      <c r="P64" s="39">
        <f t="shared" si="3"/>
        <v>5250</v>
      </c>
      <c r="Q64" s="39"/>
      <c r="U64" s="38">
        <f t="shared" si="4"/>
        <v>189000000</v>
      </c>
    </row>
    <row r="65" spans="1:21">
      <c r="A65" s="3" t="s">
        <v>183</v>
      </c>
      <c r="B65" s="3" t="s">
        <v>365</v>
      </c>
      <c r="C65" s="8">
        <v>30000</v>
      </c>
      <c r="D65" s="8">
        <f t="shared" si="0"/>
        <v>7500</v>
      </c>
      <c r="E65" s="7">
        <v>3</v>
      </c>
      <c r="F65" s="40">
        <v>12</v>
      </c>
      <c r="G65" s="40">
        <f t="shared" si="1"/>
        <v>4</v>
      </c>
      <c r="H65" s="40">
        <v>5</v>
      </c>
      <c r="J65" s="40">
        <f>(I5)</f>
        <v>1050</v>
      </c>
      <c r="K65" s="40">
        <f t="shared" si="5"/>
        <v>21000</v>
      </c>
      <c r="L65" s="39"/>
      <c r="M65" s="39">
        <f>(I20)*(K65)</f>
        <v>15750</v>
      </c>
      <c r="O65" s="8">
        <f t="shared" si="2"/>
        <v>315000000</v>
      </c>
      <c r="P65" s="39">
        <f t="shared" si="3"/>
        <v>5250</v>
      </c>
      <c r="Q65" s="39"/>
      <c r="U65" s="38">
        <f t="shared" si="4"/>
        <v>472500000</v>
      </c>
    </row>
    <row r="66" spans="1:21">
      <c r="A66" s="3" t="s">
        <v>345</v>
      </c>
      <c r="B66" s="3" t="s">
        <v>365</v>
      </c>
      <c r="C66" s="8">
        <v>12000</v>
      </c>
      <c r="D66" s="8">
        <f t="shared" si="0"/>
        <v>3000</v>
      </c>
      <c r="E66" s="7">
        <v>3</v>
      </c>
      <c r="F66" s="40">
        <v>12</v>
      </c>
      <c r="G66" s="40">
        <f t="shared" si="1"/>
        <v>4</v>
      </c>
      <c r="H66" s="40">
        <v>5</v>
      </c>
      <c r="J66" s="40">
        <f>(I5)</f>
        <v>1050</v>
      </c>
      <c r="K66" s="40">
        <f t="shared" si="5"/>
        <v>21000</v>
      </c>
      <c r="L66" s="39">
        <v>6</v>
      </c>
      <c r="M66" s="39">
        <f>(I20)*(K66)</f>
        <v>15750</v>
      </c>
      <c r="O66" s="8">
        <f t="shared" si="2"/>
        <v>126072000</v>
      </c>
      <c r="P66" s="39">
        <f t="shared" si="3"/>
        <v>5244</v>
      </c>
      <c r="Q66" s="39"/>
      <c r="U66" s="38">
        <f t="shared" si="4"/>
        <v>189000000</v>
      </c>
    </row>
    <row r="67" spans="1:21">
      <c r="A67" s="3" t="s">
        <v>344</v>
      </c>
      <c r="B67" s="3" t="s">
        <v>365</v>
      </c>
      <c r="C67" s="8">
        <v>13000</v>
      </c>
      <c r="D67" s="8">
        <f t="shared" si="0"/>
        <v>3250</v>
      </c>
      <c r="E67" s="7">
        <v>3</v>
      </c>
      <c r="F67" s="40">
        <v>12</v>
      </c>
      <c r="G67" s="40">
        <f t="shared" si="1"/>
        <v>4</v>
      </c>
      <c r="H67" s="40">
        <v>5</v>
      </c>
      <c r="J67" s="40">
        <f>(I5)</f>
        <v>1050</v>
      </c>
      <c r="K67" s="40">
        <f t="shared" si="5"/>
        <v>21000</v>
      </c>
      <c r="L67" s="39"/>
      <c r="M67" s="39">
        <f>(I20)*(K67)</f>
        <v>15750</v>
      </c>
      <c r="O67" s="8">
        <f t="shared" si="2"/>
        <v>136500000</v>
      </c>
      <c r="P67" s="39">
        <f t="shared" si="3"/>
        <v>5250</v>
      </c>
      <c r="Q67" s="39"/>
      <c r="U67" s="38">
        <f t="shared" si="4"/>
        <v>204750000</v>
      </c>
    </row>
    <row r="68" spans="1:21">
      <c r="A68" s="3" t="s">
        <v>184</v>
      </c>
      <c r="B68" s="3" t="s">
        <v>365</v>
      </c>
      <c r="C68" s="8">
        <v>12800</v>
      </c>
      <c r="D68" s="8">
        <f t="shared" si="0"/>
        <v>3200</v>
      </c>
      <c r="E68" s="7">
        <v>3</v>
      </c>
      <c r="F68" s="40">
        <v>12</v>
      </c>
      <c r="G68" s="40">
        <f t="shared" si="1"/>
        <v>4</v>
      </c>
      <c r="H68" s="40">
        <v>5</v>
      </c>
      <c r="J68" s="40">
        <f>(I5)</f>
        <v>1050</v>
      </c>
      <c r="K68" s="40">
        <f t="shared" si="5"/>
        <v>21000</v>
      </c>
      <c r="L68" s="39">
        <v>6</v>
      </c>
      <c r="M68" s="39">
        <f>(I20)*(K68)</f>
        <v>15750</v>
      </c>
      <c r="O68" s="8">
        <f t="shared" si="2"/>
        <v>134476800</v>
      </c>
      <c r="P68" s="39">
        <f t="shared" si="3"/>
        <v>5244</v>
      </c>
      <c r="Q68" s="39"/>
      <c r="U68" s="38">
        <f t="shared" si="4"/>
        <v>201600000</v>
      </c>
    </row>
    <row r="69" spans="1:21">
      <c r="A69" s="3" t="s">
        <v>185</v>
      </c>
      <c r="B69" s="3" t="s">
        <v>365</v>
      </c>
      <c r="C69" s="8">
        <v>6500</v>
      </c>
      <c r="D69" s="8">
        <f t="shared" si="0"/>
        <v>1625</v>
      </c>
      <c r="E69" s="7">
        <v>3</v>
      </c>
      <c r="F69" s="40">
        <v>12</v>
      </c>
      <c r="G69" s="40">
        <f t="shared" si="1"/>
        <v>4</v>
      </c>
      <c r="H69" s="40">
        <v>5</v>
      </c>
      <c r="J69" s="40">
        <f>(I5)</f>
        <v>1050</v>
      </c>
      <c r="K69" s="40">
        <f t="shared" si="5"/>
        <v>21000</v>
      </c>
      <c r="L69" s="39"/>
      <c r="M69" s="39">
        <f>(I20)*(K69)</f>
        <v>15750</v>
      </c>
      <c r="O69" s="8">
        <f t="shared" si="2"/>
        <v>68250000</v>
      </c>
      <c r="P69" s="39">
        <f t="shared" si="3"/>
        <v>5250</v>
      </c>
      <c r="Q69" s="39"/>
      <c r="U69" s="38">
        <f t="shared" si="4"/>
        <v>102375000</v>
      </c>
    </row>
    <row r="70" spans="1:21">
      <c r="A70" s="3" t="s">
        <v>186</v>
      </c>
      <c r="B70" s="3" t="s">
        <v>365</v>
      </c>
      <c r="C70" s="8">
        <v>56999</v>
      </c>
      <c r="D70" s="8">
        <f t="shared" ref="D70:D110" si="6">(C70*0.25)</f>
        <v>14249.75</v>
      </c>
      <c r="E70" s="7">
        <v>3</v>
      </c>
      <c r="F70" s="40">
        <v>12</v>
      </c>
      <c r="G70" s="40">
        <f t="shared" ref="G70:G110" si="7">(F70/E70)</f>
        <v>4</v>
      </c>
      <c r="H70" s="40">
        <v>5</v>
      </c>
      <c r="J70" s="40">
        <f>(I5)</f>
        <v>1050</v>
      </c>
      <c r="K70" s="40">
        <f t="shared" ref="K70:K107" si="8">(G70*H70)*(J70)</f>
        <v>21000</v>
      </c>
      <c r="L70" s="39">
        <v>1</v>
      </c>
      <c r="M70" s="39">
        <f>(I20)*(K70)</f>
        <v>15750</v>
      </c>
      <c r="O70" s="8">
        <f t="shared" ref="O70:O110" si="9">((L70+M70)*C70)-(D70)*(K70)</f>
        <v>598546499</v>
      </c>
      <c r="P70" s="39">
        <f t="shared" ref="P70:P110" si="10">(K70-(L70+M70))</f>
        <v>5249</v>
      </c>
      <c r="Q70" s="39"/>
      <c r="U70" s="38">
        <f t="shared" ref="U70:U110" si="11">(M70)*(C70)</f>
        <v>897734250</v>
      </c>
    </row>
    <row r="71" spans="1:21">
      <c r="A71" s="3" t="s">
        <v>187</v>
      </c>
      <c r="B71" s="3" t="s">
        <v>365</v>
      </c>
      <c r="C71" s="8">
        <v>9000</v>
      </c>
      <c r="D71" s="8">
        <f t="shared" si="6"/>
        <v>2250</v>
      </c>
      <c r="E71" s="7">
        <v>3</v>
      </c>
      <c r="F71" s="40">
        <v>12</v>
      </c>
      <c r="G71" s="40">
        <f t="shared" si="7"/>
        <v>4</v>
      </c>
      <c r="H71" s="40">
        <v>5</v>
      </c>
      <c r="J71" s="40">
        <f>(I5)</f>
        <v>1050</v>
      </c>
      <c r="K71" s="40">
        <f t="shared" si="8"/>
        <v>21000</v>
      </c>
      <c r="L71" s="39"/>
      <c r="M71" s="39">
        <f>(I20)*(K71)</f>
        <v>15750</v>
      </c>
      <c r="O71" s="8">
        <f t="shared" si="9"/>
        <v>94500000</v>
      </c>
      <c r="P71" s="39">
        <f t="shared" si="10"/>
        <v>5250</v>
      </c>
      <c r="Q71" s="39"/>
      <c r="U71" s="38">
        <f t="shared" si="11"/>
        <v>141750000</v>
      </c>
    </row>
    <row r="72" spans="1:21">
      <c r="A72" s="3" t="s">
        <v>188</v>
      </c>
      <c r="B72" s="3" t="s">
        <v>365</v>
      </c>
      <c r="C72" s="8">
        <v>12000</v>
      </c>
      <c r="D72" s="8">
        <f t="shared" si="6"/>
        <v>3000</v>
      </c>
      <c r="E72" s="7">
        <v>3</v>
      </c>
      <c r="F72" s="40">
        <v>12</v>
      </c>
      <c r="G72" s="40">
        <f t="shared" si="7"/>
        <v>4</v>
      </c>
      <c r="H72" s="40">
        <v>5</v>
      </c>
      <c r="J72" s="40">
        <f>(I5)</f>
        <v>1050</v>
      </c>
      <c r="K72" s="40">
        <f t="shared" si="8"/>
        <v>21000</v>
      </c>
      <c r="L72" s="39"/>
      <c r="M72" s="39">
        <f>(I20)*(K72)</f>
        <v>15750</v>
      </c>
      <c r="O72" s="8">
        <f t="shared" si="9"/>
        <v>126000000</v>
      </c>
      <c r="P72" s="39">
        <f t="shared" si="10"/>
        <v>5250</v>
      </c>
      <c r="Q72" s="39"/>
      <c r="U72" s="38">
        <f t="shared" si="11"/>
        <v>189000000</v>
      </c>
    </row>
    <row r="73" spans="1:21">
      <c r="A73" s="3" t="s">
        <v>189</v>
      </c>
      <c r="B73" s="3" t="s">
        <v>365</v>
      </c>
      <c r="C73" s="8">
        <v>10550</v>
      </c>
      <c r="D73" s="8">
        <f t="shared" si="6"/>
        <v>2637.5</v>
      </c>
      <c r="E73" s="7">
        <v>3</v>
      </c>
      <c r="F73" s="40">
        <v>12</v>
      </c>
      <c r="G73" s="40">
        <f t="shared" si="7"/>
        <v>4</v>
      </c>
      <c r="H73" s="40">
        <v>5</v>
      </c>
      <c r="J73" s="40">
        <f>(I5)</f>
        <v>1050</v>
      </c>
      <c r="K73" s="40">
        <f t="shared" si="8"/>
        <v>21000</v>
      </c>
      <c r="L73" s="39"/>
      <c r="M73" s="39">
        <f>(I20)*(K73)</f>
        <v>15750</v>
      </c>
      <c r="O73" s="8">
        <f t="shared" si="9"/>
        <v>110775000</v>
      </c>
      <c r="P73" s="39">
        <f t="shared" si="10"/>
        <v>5250</v>
      </c>
      <c r="Q73" s="39"/>
      <c r="U73" s="38">
        <f t="shared" si="11"/>
        <v>166162500</v>
      </c>
    </row>
    <row r="74" spans="1:21">
      <c r="A74" s="3" t="s">
        <v>190</v>
      </c>
      <c r="B74" s="3" t="s">
        <v>365</v>
      </c>
      <c r="C74" s="8">
        <v>11000</v>
      </c>
      <c r="D74" s="8">
        <f t="shared" si="6"/>
        <v>2750</v>
      </c>
      <c r="E74" s="7">
        <v>3</v>
      </c>
      <c r="F74" s="40">
        <v>12</v>
      </c>
      <c r="G74" s="40">
        <f t="shared" si="7"/>
        <v>4</v>
      </c>
      <c r="H74" s="40">
        <v>5</v>
      </c>
      <c r="J74" s="40">
        <f>(I5)</f>
        <v>1050</v>
      </c>
      <c r="K74" s="40">
        <f t="shared" si="8"/>
        <v>21000</v>
      </c>
      <c r="L74" s="39"/>
      <c r="M74" s="39">
        <f>(I20)*(K74)</f>
        <v>15750</v>
      </c>
      <c r="O74" s="8">
        <f t="shared" si="9"/>
        <v>115500000</v>
      </c>
      <c r="P74" s="39">
        <f t="shared" si="10"/>
        <v>5250</v>
      </c>
      <c r="Q74" s="39"/>
      <c r="U74" s="38">
        <f t="shared" si="11"/>
        <v>173250000</v>
      </c>
    </row>
    <row r="75" spans="1:21">
      <c r="A75" s="3" t="s">
        <v>191</v>
      </c>
      <c r="B75" s="3" t="s">
        <v>365</v>
      </c>
      <c r="C75" s="8">
        <v>11550</v>
      </c>
      <c r="D75" s="8">
        <f t="shared" si="6"/>
        <v>2887.5</v>
      </c>
      <c r="E75" s="7">
        <v>3</v>
      </c>
      <c r="F75" s="40">
        <v>12</v>
      </c>
      <c r="G75" s="40">
        <f t="shared" si="7"/>
        <v>4</v>
      </c>
      <c r="H75" s="40">
        <v>5</v>
      </c>
      <c r="J75" s="40">
        <f>(I5)</f>
        <v>1050</v>
      </c>
      <c r="K75" s="40">
        <f t="shared" si="8"/>
        <v>21000</v>
      </c>
      <c r="L75" s="39"/>
      <c r="M75" s="39">
        <f>(I20)*(K75)</f>
        <v>15750</v>
      </c>
      <c r="O75" s="8">
        <f t="shared" si="9"/>
        <v>121275000</v>
      </c>
      <c r="P75" s="39">
        <f t="shared" si="10"/>
        <v>5250</v>
      </c>
      <c r="Q75" s="39"/>
      <c r="U75" s="38">
        <f t="shared" si="11"/>
        <v>181912500</v>
      </c>
    </row>
    <row r="76" spans="1:21">
      <c r="A76" s="3" t="s">
        <v>192</v>
      </c>
      <c r="B76" s="3" t="s">
        <v>365</v>
      </c>
      <c r="C76" s="8">
        <v>12500</v>
      </c>
      <c r="D76" s="8">
        <f t="shared" si="6"/>
        <v>3125</v>
      </c>
      <c r="E76" s="7">
        <v>3</v>
      </c>
      <c r="F76" s="40">
        <v>12</v>
      </c>
      <c r="G76" s="40">
        <f t="shared" si="7"/>
        <v>4</v>
      </c>
      <c r="H76" s="40">
        <v>5</v>
      </c>
      <c r="J76" s="40">
        <f>(I5)</f>
        <v>1050</v>
      </c>
      <c r="K76" s="40">
        <f t="shared" si="8"/>
        <v>21000</v>
      </c>
      <c r="L76" s="39">
        <v>1</v>
      </c>
      <c r="M76" s="39">
        <f>(I20)*(K76)</f>
        <v>15750</v>
      </c>
      <c r="O76" s="8">
        <f t="shared" si="9"/>
        <v>131262500</v>
      </c>
      <c r="P76" s="39">
        <f t="shared" si="10"/>
        <v>5249</v>
      </c>
      <c r="Q76" s="39"/>
      <c r="U76" s="38">
        <f t="shared" si="11"/>
        <v>196875000</v>
      </c>
    </row>
    <row r="77" spans="1:21">
      <c r="A77" s="3" t="s">
        <v>194</v>
      </c>
      <c r="B77" s="3" t="s">
        <v>193</v>
      </c>
      <c r="C77" s="8">
        <v>450</v>
      </c>
      <c r="D77" s="8">
        <f t="shared" si="6"/>
        <v>112.5</v>
      </c>
      <c r="E77" s="7">
        <v>1</v>
      </c>
      <c r="F77" s="40">
        <v>12</v>
      </c>
      <c r="G77" s="40">
        <f t="shared" si="7"/>
        <v>12</v>
      </c>
      <c r="H77" s="40">
        <v>5</v>
      </c>
      <c r="J77" s="40">
        <f>(I5)</f>
        <v>1050</v>
      </c>
      <c r="K77" s="40">
        <f t="shared" si="8"/>
        <v>63000</v>
      </c>
      <c r="L77" s="39"/>
      <c r="M77" s="39">
        <f>(I20)*(K77)</f>
        <v>47250</v>
      </c>
      <c r="O77" s="8">
        <f t="shared" si="9"/>
        <v>14175000</v>
      </c>
      <c r="P77" s="39">
        <f t="shared" si="10"/>
        <v>15750</v>
      </c>
      <c r="Q77" s="39"/>
      <c r="U77" s="38">
        <f t="shared" si="11"/>
        <v>21262500</v>
      </c>
    </row>
    <row r="78" spans="1:21">
      <c r="A78" s="3" t="s">
        <v>195</v>
      </c>
      <c r="B78" s="3" t="s">
        <v>196</v>
      </c>
      <c r="C78" s="8">
        <v>1000</v>
      </c>
      <c r="D78" s="8">
        <f t="shared" si="6"/>
        <v>250</v>
      </c>
      <c r="E78" s="7">
        <v>1</v>
      </c>
      <c r="F78" s="40">
        <v>12</v>
      </c>
      <c r="G78" s="40">
        <f t="shared" si="7"/>
        <v>12</v>
      </c>
      <c r="H78" s="40">
        <v>5</v>
      </c>
      <c r="J78" s="40">
        <f>(I5)</f>
        <v>1050</v>
      </c>
      <c r="K78" s="40">
        <f t="shared" si="8"/>
        <v>63000</v>
      </c>
      <c r="L78" s="39">
        <v>100</v>
      </c>
      <c r="M78" s="39">
        <f>(I20)*(K78)</f>
        <v>47250</v>
      </c>
      <c r="O78" s="8">
        <f t="shared" si="9"/>
        <v>31600000</v>
      </c>
      <c r="P78" s="39">
        <f t="shared" si="10"/>
        <v>15650</v>
      </c>
      <c r="Q78" s="39"/>
      <c r="U78" s="38">
        <f t="shared" si="11"/>
        <v>47250000</v>
      </c>
    </row>
    <row r="79" spans="1:21">
      <c r="A79" s="3" t="s">
        <v>197</v>
      </c>
      <c r="B79" s="3" t="s">
        <v>193</v>
      </c>
      <c r="C79" s="8">
        <v>500</v>
      </c>
      <c r="D79" s="8">
        <f t="shared" si="6"/>
        <v>125</v>
      </c>
      <c r="E79" s="7">
        <v>1</v>
      </c>
      <c r="F79" s="40">
        <v>12</v>
      </c>
      <c r="G79" s="40">
        <f t="shared" si="7"/>
        <v>12</v>
      </c>
      <c r="H79" s="40">
        <v>5</v>
      </c>
      <c r="J79" s="40">
        <f>(I5)</f>
        <v>1050</v>
      </c>
      <c r="K79" s="40">
        <f t="shared" si="8"/>
        <v>63000</v>
      </c>
      <c r="L79" s="39"/>
      <c r="M79" s="39">
        <f>(I20)*(K79)</f>
        <v>47250</v>
      </c>
      <c r="O79" s="8">
        <f t="shared" si="9"/>
        <v>15750000</v>
      </c>
      <c r="P79" s="39">
        <f t="shared" si="10"/>
        <v>15750</v>
      </c>
      <c r="Q79" s="39"/>
      <c r="U79" s="38">
        <f t="shared" si="11"/>
        <v>23625000</v>
      </c>
    </row>
    <row r="80" spans="1:21">
      <c r="A80" s="3" t="s">
        <v>198</v>
      </c>
      <c r="B80" s="3" t="s">
        <v>199</v>
      </c>
      <c r="C80" s="8">
        <v>700</v>
      </c>
      <c r="D80" s="8">
        <f t="shared" si="6"/>
        <v>175</v>
      </c>
      <c r="E80" s="7">
        <v>1</v>
      </c>
      <c r="F80" s="40">
        <v>12</v>
      </c>
      <c r="G80" s="40">
        <f t="shared" si="7"/>
        <v>12</v>
      </c>
      <c r="H80" s="40">
        <v>5</v>
      </c>
      <c r="J80" s="40">
        <f>(I5)</f>
        <v>1050</v>
      </c>
      <c r="K80" s="40">
        <f t="shared" si="8"/>
        <v>63000</v>
      </c>
      <c r="L80" s="39">
        <v>50</v>
      </c>
      <c r="M80" s="39">
        <f>(I20)*(K80)</f>
        <v>47250</v>
      </c>
      <c r="O80" s="8">
        <f t="shared" si="9"/>
        <v>22085000</v>
      </c>
      <c r="P80" s="39">
        <f t="shared" si="10"/>
        <v>15700</v>
      </c>
      <c r="Q80" s="39"/>
      <c r="U80" s="38">
        <f t="shared" si="11"/>
        <v>33075000</v>
      </c>
    </row>
    <row r="81" spans="1:21">
      <c r="A81" s="3" t="s">
        <v>200</v>
      </c>
      <c r="B81" s="3" t="s">
        <v>196</v>
      </c>
      <c r="C81" s="8">
        <v>500</v>
      </c>
      <c r="D81" s="8">
        <f t="shared" si="6"/>
        <v>125</v>
      </c>
      <c r="E81" s="7">
        <v>1</v>
      </c>
      <c r="F81" s="40">
        <v>12</v>
      </c>
      <c r="G81" s="40">
        <f t="shared" si="7"/>
        <v>12</v>
      </c>
      <c r="H81" s="40">
        <v>5</v>
      </c>
      <c r="J81" s="40">
        <f>(I5)</f>
        <v>1050</v>
      </c>
      <c r="K81" s="40">
        <f t="shared" si="8"/>
        <v>63000</v>
      </c>
      <c r="L81" s="39"/>
      <c r="M81" s="39">
        <f>(I20)*(K81)</f>
        <v>47250</v>
      </c>
      <c r="O81" s="8">
        <f t="shared" si="9"/>
        <v>15750000</v>
      </c>
      <c r="P81" s="39">
        <f t="shared" si="10"/>
        <v>15750</v>
      </c>
      <c r="Q81" s="39"/>
      <c r="U81" s="38">
        <f t="shared" si="11"/>
        <v>23625000</v>
      </c>
    </row>
    <row r="82" spans="1:21">
      <c r="A82" s="3" t="s">
        <v>201</v>
      </c>
      <c r="B82" s="3" t="s">
        <v>202</v>
      </c>
      <c r="C82" s="8">
        <v>5000</v>
      </c>
      <c r="D82" s="8">
        <f t="shared" si="6"/>
        <v>1250</v>
      </c>
      <c r="E82" s="7">
        <v>1</v>
      </c>
      <c r="F82" s="40">
        <v>12</v>
      </c>
      <c r="G82" s="40">
        <f t="shared" si="7"/>
        <v>12</v>
      </c>
      <c r="H82" s="40">
        <v>5</v>
      </c>
      <c r="J82" s="40">
        <f>(I5)</f>
        <v>1050</v>
      </c>
      <c r="K82" s="40">
        <f t="shared" si="8"/>
        <v>63000</v>
      </c>
      <c r="L82" s="39"/>
      <c r="M82" s="39">
        <f>(I20)*(K82)</f>
        <v>47250</v>
      </c>
      <c r="O82" s="8">
        <f t="shared" si="9"/>
        <v>157500000</v>
      </c>
      <c r="P82" s="39">
        <f t="shared" si="10"/>
        <v>15750</v>
      </c>
      <c r="Q82" s="39"/>
      <c r="U82" s="38">
        <f t="shared" si="11"/>
        <v>236250000</v>
      </c>
    </row>
    <row r="83" spans="1:21">
      <c r="A83" s="3" t="s">
        <v>203</v>
      </c>
      <c r="B83" s="3" t="s">
        <v>204</v>
      </c>
      <c r="C83" s="8">
        <v>1500</v>
      </c>
      <c r="D83" s="8">
        <f t="shared" si="6"/>
        <v>375</v>
      </c>
      <c r="E83" s="7">
        <v>1</v>
      </c>
      <c r="F83" s="40">
        <v>12</v>
      </c>
      <c r="G83" s="40">
        <f t="shared" si="7"/>
        <v>12</v>
      </c>
      <c r="H83" s="40">
        <v>5</v>
      </c>
      <c r="J83" s="40">
        <f>(I5)</f>
        <v>1050</v>
      </c>
      <c r="K83" s="40">
        <f t="shared" si="8"/>
        <v>63000</v>
      </c>
      <c r="L83" s="39"/>
      <c r="M83" s="39">
        <f>(I20)*(K83)</f>
        <v>47250</v>
      </c>
      <c r="O83" s="8">
        <f t="shared" si="9"/>
        <v>47250000</v>
      </c>
      <c r="P83" s="39">
        <f t="shared" si="10"/>
        <v>15750</v>
      </c>
      <c r="Q83" s="39"/>
      <c r="U83" s="38">
        <f t="shared" si="11"/>
        <v>70875000</v>
      </c>
    </row>
    <row r="84" spans="1:21">
      <c r="A84" s="3" t="s">
        <v>205</v>
      </c>
      <c r="B84" s="3" t="s">
        <v>204</v>
      </c>
      <c r="C84" s="8">
        <v>1500</v>
      </c>
      <c r="D84" s="8">
        <f t="shared" si="6"/>
        <v>375</v>
      </c>
      <c r="E84" s="7">
        <v>1</v>
      </c>
      <c r="F84" s="40">
        <v>12</v>
      </c>
      <c r="G84" s="40">
        <f t="shared" si="7"/>
        <v>12</v>
      </c>
      <c r="H84" s="40">
        <v>5</v>
      </c>
      <c r="J84" s="40">
        <f>(I5)</f>
        <v>1050</v>
      </c>
      <c r="K84" s="40">
        <f t="shared" si="8"/>
        <v>63000</v>
      </c>
      <c r="L84" s="39"/>
      <c r="M84" s="39">
        <f>(I20)*(K84)</f>
        <v>47250</v>
      </c>
      <c r="O84" s="8">
        <f t="shared" si="9"/>
        <v>47250000</v>
      </c>
      <c r="P84" s="39">
        <f t="shared" si="10"/>
        <v>15750</v>
      </c>
      <c r="Q84" s="39"/>
      <c r="U84" s="38">
        <f t="shared" si="11"/>
        <v>70875000</v>
      </c>
    </row>
    <row r="85" spans="1:21">
      <c r="A85" s="3" t="s">
        <v>206</v>
      </c>
      <c r="B85" s="3" t="s">
        <v>196</v>
      </c>
      <c r="C85" s="8">
        <v>1200</v>
      </c>
      <c r="D85" s="8">
        <f t="shared" si="6"/>
        <v>300</v>
      </c>
      <c r="E85" s="7">
        <v>1</v>
      </c>
      <c r="F85" s="40">
        <v>12</v>
      </c>
      <c r="G85" s="40">
        <f t="shared" si="7"/>
        <v>12</v>
      </c>
      <c r="H85" s="40">
        <v>5</v>
      </c>
      <c r="J85" s="40">
        <f>(I5)</f>
        <v>1050</v>
      </c>
      <c r="K85" s="40">
        <f t="shared" si="8"/>
        <v>63000</v>
      </c>
      <c r="L85" s="39"/>
      <c r="M85" s="39">
        <f>(I20)*(K85)</f>
        <v>47250</v>
      </c>
      <c r="O85" s="8">
        <f t="shared" si="9"/>
        <v>37800000</v>
      </c>
      <c r="P85" s="39">
        <f t="shared" si="10"/>
        <v>15750</v>
      </c>
      <c r="Q85" s="39"/>
      <c r="U85" s="38">
        <f t="shared" si="11"/>
        <v>56700000</v>
      </c>
    </row>
    <row r="86" spans="1:21">
      <c r="A86" s="3" t="s">
        <v>207</v>
      </c>
      <c r="B86" s="3" t="s">
        <v>196</v>
      </c>
      <c r="C86" s="8">
        <v>1100</v>
      </c>
      <c r="D86" s="8">
        <f t="shared" si="6"/>
        <v>275</v>
      </c>
      <c r="E86" s="7">
        <v>1</v>
      </c>
      <c r="F86" s="40">
        <v>12</v>
      </c>
      <c r="G86" s="40">
        <f t="shared" si="7"/>
        <v>12</v>
      </c>
      <c r="H86" s="40">
        <v>5</v>
      </c>
      <c r="J86" s="40">
        <f>(I5)</f>
        <v>1050</v>
      </c>
      <c r="K86" s="40">
        <f t="shared" si="8"/>
        <v>63000</v>
      </c>
      <c r="L86" s="39"/>
      <c r="M86" s="39">
        <f>(I20)*(K86)</f>
        <v>47250</v>
      </c>
      <c r="O86" s="8">
        <f t="shared" si="9"/>
        <v>34650000</v>
      </c>
      <c r="P86" s="39">
        <f t="shared" si="10"/>
        <v>15750</v>
      </c>
      <c r="Q86" s="39"/>
      <c r="U86" s="38">
        <f t="shared" si="11"/>
        <v>51975000</v>
      </c>
    </row>
    <row r="87" spans="1:21">
      <c r="A87" s="3" t="s">
        <v>208</v>
      </c>
      <c r="B87" s="3" t="s">
        <v>196</v>
      </c>
      <c r="C87" s="8">
        <v>825</v>
      </c>
      <c r="D87" s="8">
        <f t="shared" si="6"/>
        <v>206.25</v>
      </c>
      <c r="E87" s="7">
        <v>1</v>
      </c>
      <c r="F87" s="40">
        <v>12</v>
      </c>
      <c r="G87" s="40">
        <f t="shared" si="7"/>
        <v>12</v>
      </c>
      <c r="H87" s="40">
        <v>5</v>
      </c>
      <c r="J87" s="40">
        <f>(I5)</f>
        <v>1050</v>
      </c>
      <c r="K87" s="40">
        <f t="shared" si="8"/>
        <v>63000</v>
      </c>
      <c r="L87" s="39">
        <v>100</v>
      </c>
      <c r="M87" s="39">
        <f>(I20)*(K87)</f>
        <v>47250</v>
      </c>
      <c r="O87" s="8">
        <f t="shared" si="9"/>
        <v>26070000</v>
      </c>
      <c r="P87" s="39">
        <f t="shared" si="10"/>
        <v>15650</v>
      </c>
      <c r="Q87" s="39"/>
      <c r="U87" s="38">
        <f t="shared" si="11"/>
        <v>38981250</v>
      </c>
    </row>
    <row r="88" spans="1:21">
      <c r="A88" s="3" t="s">
        <v>209</v>
      </c>
      <c r="B88" s="3" t="s">
        <v>193</v>
      </c>
      <c r="C88" s="8">
        <v>150</v>
      </c>
      <c r="D88" s="8">
        <f t="shared" si="6"/>
        <v>37.5</v>
      </c>
      <c r="E88" s="7">
        <v>1</v>
      </c>
      <c r="F88" s="40">
        <v>12</v>
      </c>
      <c r="G88" s="40">
        <f t="shared" si="7"/>
        <v>12</v>
      </c>
      <c r="H88" s="40">
        <v>5</v>
      </c>
      <c r="J88" s="40">
        <f>(I5)</f>
        <v>1050</v>
      </c>
      <c r="K88" s="40">
        <f t="shared" si="8"/>
        <v>63000</v>
      </c>
      <c r="L88" s="39">
        <v>100</v>
      </c>
      <c r="M88" s="39">
        <f>(I20)*(K88)</f>
        <v>47250</v>
      </c>
      <c r="O88" s="8">
        <f t="shared" si="9"/>
        <v>4740000</v>
      </c>
      <c r="P88" s="39">
        <f t="shared" si="10"/>
        <v>15650</v>
      </c>
      <c r="Q88" s="39"/>
      <c r="U88" s="38">
        <f t="shared" si="11"/>
        <v>7087500</v>
      </c>
    </row>
    <row r="89" spans="1:21">
      <c r="A89" s="3" t="s">
        <v>371</v>
      </c>
      <c r="B89" s="3" t="s">
        <v>196</v>
      </c>
      <c r="C89" s="8">
        <v>900</v>
      </c>
      <c r="D89" s="8">
        <f t="shared" si="6"/>
        <v>225</v>
      </c>
      <c r="E89" s="7">
        <v>1</v>
      </c>
      <c r="F89" s="40">
        <v>12</v>
      </c>
      <c r="G89" s="40">
        <f t="shared" si="7"/>
        <v>12</v>
      </c>
      <c r="H89" s="40">
        <v>5</v>
      </c>
      <c r="J89" s="40">
        <f>(I5)</f>
        <v>1050</v>
      </c>
      <c r="K89" s="40">
        <f t="shared" si="8"/>
        <v>63000</v>
      </c>
      <c r="L89" s="39">
        <v>100</v>
      </c>
      <c r="M89" s="39">
        <f>(I20)*(K89)</f>
        <v>47250</v>
      </c>
      <c r="O89" s="8">
        <f t="shared" si="9"/>
        <v>28440000</v>
      </c>
      <c r="P89" s="39">
        <f t="shared" si="10"/>
        <v>15650</v>
      </c>
      <c r="Q89" s="39"/>
      <c r="U89" s="38">
        <f t="shared" si="11"/>
        <v>42525000</v>
      </c>
    </row>
    <row r="90" spans="1:21">
      <c r="A90" s="3" t="s">
        <v>372</v>
      </c>
      <c r="B90" s="3" t="s">
        <v>196</v>
      </c>
      <c r="C90" s="8">
        <v>840</v>
      </c>
      <c r="D90" s="8">
        <f t="shared" si="6"/>
        <v>210</v>
      </c>
      <c r="E90" s="7">
        <v>1</v>
      </c>
      <c r="F90" s="40">
        <v>12</v>
      </c>
      <c r="G90" s="40">
        <f t="shared" si="7"/>
        <v>12</v>
      </c>
      <c r="H90" s="40">
        <v>5</v>
      </c>
      <c r="J90" s="40">
        <f>(I5)</f>
        <v>1050</v>
      </c>
      <c r="K90" s="40">
        <f t="shared" si="8"/>
        <v>63000</v>
      </c>
      <c r="L90" s="39"/>
      <c r="M90" s="39">
        <f>(I20)*(K90)</f>
        <v>47250</v>
      </c>
      <c r="O90" s="8">
        <f t="shared" si="9"/>
        <v>26460000</v>
      </c>
      <c r="P90" s="39">
        <f t="shared" si="10"/>
        <v>15750</v>
      </c>
      <c r="Q90" s="39"/>
      <c r="U90" s="38">
        <f t="shared" si="11"/>
        <v>39690000</v>
      </c>
    </row>
    <row r="91" spans="1:21">
      <c r="A91" s="3" t="s">
        <v>373</v>
      </c>
      <c r="B91" s="3" t="s">
        <v>196</v>
      </c>
      <c r="C91" s="8">
        <v>600</v>
      </c>
      <c r="D91" s="8">
        <f t="shared" si="6"/>
        <v>150</v>
      </c>
      <c r="E91" s="7">
        <v>1</v>
      </c>
      <c r="F91" s="40">
        <v>12</v>
      </c>
      <c r="G91" s="40">
        <f t="shared" si="7"/>
        <v>12</v>
      </c>
      <c r="H91" s="40">
        <v>5</v>
      </c>
      <c r="J91" s="40">
        <f>(I5)</f>
        <v>1050</v>
      </c>
      <c r="K91" s="40">
        <f t="shared" si="8"/>
        <v>63000</v>
      </c>
      <c r="L91" s="39"/>
      <c r="M91" s="39">
        <f>(I20)*(K91)</f>
        <v>47250</v>
      </c>
      <c r="O91" s="8">
        <f t="shared" si="9"/>
        <v>18900000</v>
      </c>
      <c r="P91" s="39">
        <f t="shared" si="10"/>
        <v>15750</v>
      </c>
      <c r="Q91" s="39"/>
      <c r="U91" s="38">
        <f t="shared" si="11"/>
        <v>28350000</v>
      </c>
    </row>
    <row r="92" spans="1:21">
      <c r="A92" s="3" t="s">
        <v>374</v>
      </c>
      <c r="B92" s="3" t="s">
        <v>196</v>
      </c>
      <c r="C92" s="8">
        <v>900</v>
      </c>
      <c r="D92" s="8">
        <f t="shared" si="6"/>
        <v>225</v>
      </c>
      <c r="E92" s="7">
        <v>1</v>
      </c>
      <c r="F92" s="40">
        <v>12</v>
      </c>
      <c r="G92" s="40">
        <f t="shared" si="7"/>
        <v>12</v>
      </c>
      <c r="H92" s="40">
        <v>5</v>
      </c>
      <c r="J92" s="40">
        <f>(I5)</f>
        <v>1050</v>
      </c>
      <c r="K92" s="40">
        <f t="shared" si="8"/>
        <v>63000</v>
      </c>
      <c r="L92" s="39"/>
      <c r="M92" s="39">
        <f>(I20)*(K92)</f>
        <v>47250</v>
      </c>
      <c r="O92" s="8">
        <f t="shared" si="9"/>
        <v>28350000</v>
      </c>
      <c r="P92" s="39">
        <f t="shared" si="10"/>
        <v>15750</v>
      </c>
      <c r="Q92" s="39"/>
      <c r="U92" s="38">
        <f t="shared" si="11"/>
        <v>42525000</v>
      </c>
    </row>
    <row r="93" spans="1:21">
      <c r="A93" s="3" t="s">
        <v>375</v>
      </c>
      <c r="B93" s="3" t="s">
        <v>196</v>
      </c>
      <c r="C93" s="8">
        <v>500</v>
      </c>
      <c r="D93" s="8">
        <f t="shared" si="6"/>
        <v>125</v>
      </c>
      <c r="E93" s="7">
        <v>1</v>
      </c>
      <c r="F93" s="40">
        <v>12</v>
      </c>
      <c r="G93" s="40">
        <f t="shared" si="7"/>
        <v>12</v>
      </c>
      <c r="H93" s="40">
        <v>5</v>
      </c>
      <c r="J93" s="40">
        <f>(I5)</f>
        <v>1050</v>
      </c>
      <c r="K93" s="40">
        <f t="shared" si="8"/>
        <v>63000</v>
      </c>
      <c r="L93" s="39"/>
      <c r="M93" s="39">
        <f>(I20)*(K93)</f>
        <v>47250</v>
      </c>
      <c r="O93" s="8">
        <f t="shared" si="9"/>
        <v>15750000</v>
      </c>
      <c r="P93" s="39">
        <f t="shared" si="10"/>
        <v>15750</v>
      </c>
      <c r="Q93" s="39"/>
      <c r="U93" s="38">
        <f t="shared" si="11"/>
        <v>23625000</v>
      </c>
    </row>
    <row r="94" spans="1:21">
      <c r="A94" s="3" t="s">
        <v>376</v>
      </c>
      <c r="B94" s="3" t="s">
        <v>196</v>
      </c>
      <c r="C94" s="8">
        <v>600</v>
      </c>
      <c r="D94" s="8">
        <f t="shared" si="6"/>
        <v>150</v>
      </c>
      <c r="E94" s="7">
        <v>1</v>
      </c>
      <c r="F94" s="40">
        <v>12</v>
      </c>
      <c r="G94" s="40">
        <f t="shared" si="7"/>
        <v>12</v>
      </c>
      <c r="H94" s="40">
        <v>5</v>
      </c>
      <c r="J94" s="40">
        <f>(I5)</f>
        <v>1050</v>
      </c>
      <c r="K94" s="40">
        <f t="shared" si="8"/>
        <v>63000</v>
      </c>
      <c r="L94" s="39"/>
      <c r="M94" s="39">
        <f>(I20)*(K94)</f>
        <v>47250</v>
      </c>
      <c r="O94" s="8">
        <f t="shared" si="9"/>
        <v>18900000</v>
      </c>
      <c r="P94" s="39">
        <f t="shared" si="10"/>
        <v>15750</v>
      </c>
      <c r="Q94" s="39"/>
      <c r="U94" s="38">
        <f t="shared" si="11"/>
        <v>28350000</v>
      </c>
    </row>
    <row r="95" spans="1:21">
      <c r="A95" s="3" t="s">
        <v>377</v>
      </c>
      <c r="B95" s="3" t="s">
        <v>196</v>
      </c>
      <c r="C95" s="8">
        <v>1100</v>
      </c>
      <c r="D95" s="8">
        <f t="shared" si="6"/>
        <v>275</v>
      </c>
      <c r="E95" s="7">
        <v>1</v>
      </c>
      <c r="F95" s="40">
        <v>12</v>
      </c>
      <c r="G95" s="40">
        <f t="shared" si="7"/>
        <v>12</v>
      </c>
      <c r="H95" s="40">
        <v>5</v>
      </c>
      <c r="J95" s="40">
        <f>(I5)</f>
        <v>1050</v>
      </c>
      <c r="K95" s="40">
        <f t="shared" si="8"/>
        <v>63000</v>
      </c>
      <c r="L95" s="39">
        <v>25</v>
      </c>
      <c r="M95" s="39">
        <f>(I20)*(K95)</f>
        <v>47250</v>
      </c>
      <c r="O95" s="8">
        <f t="shared" si="9"/>
        <v>34677500</v>
      </c>
      <c r="P95" s="39">
        <f t="shared" si="10"/>
        <v>15725</v>
      </c>
      <c r="Q95" s="39"/>
      <c r="U95" s="38">
        <f t="shared" si="11"/>
        <v>51975000</v>
      </c>
    </row>
    <row r="96" spans="1:21">
      <c r="A96" s="3" t="s">
        <v>223</v>
      </c>
      <c r="B96" s="3" t="s">
        <v>196</v>
      </c>
      <c r="C96" s="8">
        <v>2400</v>
      </c>
      <c r="D96" s="8">
        <f t="shared" si="6"/>
        <v>600</v>
      </c>
      <c r="E96" s="7">
        <v>1</v>
      </c>
      <c r="F96" s="40">
        <v>12</v>
      </c>
      <c r="G96" s="40">
        <f t="shared" si="7"/>
        <v>12</v>
      </c>
      <c r="H96" s="40">
        <v>5</v>
      </c>
      <c r="J96" s="40">
        <f>(I5)</f>
        <v>1050</v>
      </c>
      <c r="K96" s="40">
        <f t="shared" si="8"/>
        <v>63000</v>
      </c>
      <c r="L96" s="39"/>
      <c r="M96" s="39">
        <f>(I20)*(K96)</f>
        <v>47250</v>
      </c>
      <c r="O96" s="8">
        <f t="shared" si="9"/>
        <v>75600000</v>
      </c>
      <c r="P96" s="39">
        <f t="shared" si="10"/>
        <v>15750</v>
      </c>
      <c r="Q96" s="39"/>
      <c r="U96" s="38">
        <f t="shared" si="11"/>
        <v>113400000</v>
      </c>
    </row>
    <row r="97" spans="1:21">
      <c r="A97" s="3" t="s">
        <v>224</v>
      </c>
      <c r="B97" s="3" t="s">
        <v>196</v>
      </c>
      <c r="C97" s="8">
        <v>1600</v>
      </c>
      <c r="D97" s="8">
        <f t="shared" si="6"/>
        <v>400</v>
      </c>
      <c r="E97" s="7">
        <v>1</v>
      </c>
      <c r="F97" s="40">
        <v>12</v>
      </c>
      <c r="G97" s="40">
        <f t="shared" si="7"/>
        <v>12</v>
      </c>
      <c r="H97" s="40">
        <v>5</v>
      </c>
      <c r="J97" s="40">
        <f>(I5)</f>
        <v>1050</v>
      </c>
      <c r="K97" s="40">
        <f t="shared" si="8"/>
        <v>63000</v>
      </c>
      <c r="L97" s="39"/>
      <c r="M97" s="39">
        <f>(I20)*(K97)</f>
        <v>47250</v>
      </c>
      <c r="O97" s="8">
        <f t="shared" si="9"/>
        <v>50400000</v>
      </c>
      <c r="P97" s="39">
        <f t="shared" si="10"/>
        <v>15750</v>
      </c>
      <c r="Q97" s="39"/>
      <c r="U97" s="38">
        <f t="shared" si="11"/>
        <v>75600000</v>
      </c>
    </row>
    <row r="98" spans="1:21">
      <c r="A98" s="3" t="s">
        <v>225</v>
      </c>
      <c r="B98" s="3" t="s">
        <v>196</v>
      </c>
      <c r="C98" s="8">
        <v>3000</v>
      </c>
      <c r="D98" s="8">
        <f t="shared" si="6"/>
        <v>750</v>
      </c>
      <c r="E98" s="7">
        <v>1</v>
      </c>
      <c r="F98" s="40">
        <v>12</v>
      </c>
      <c r="G98" s="40">
        <f t="shared" si="7"/>
        <v>12</v>
      </c>
      <c r="H98" s="40">
        <v>5</v>
      </c>
      <c r="J98" s="40">
        <f>(I5)</f>
        <v>1050</v>
      </c>
      <c r="K98" s="40">
        <f t="shared" si="8"/>
        <v>63000</v>
      </c>
      <c r="L98" s="39"/>
      <c r="M98" s="39">
        <f>(I20)*(K98)</f>
        <v>47250</v>
      </c>
      <c r="O98" s="8">
        <f t="shared" si="9"/>
        <v>94500000</v>
      </c>
      <c r="P98" s="39">
        <f t="shared" si="10"/>
        <v>15750</v>
      </c>
      <c r="Q98" s="39"/>
      <c r="U98" s="38">
        <f t="shared" si="11"/>
        <v>141750000</v>
      </c>
    </row>
    <row r="99" spans="1:21">
      <c r="A99" s="3" t="s">
        <v>226</v>
      </c>
      <c r="B99" s="3" t="s">
        <v>204</v>
      </c>
      <c r="C99" s="8">
        <v>4000</v>
      </c>
      <c r="D99" s="8">
        <f t="shared" si="6"/>
        <v>1000</v>
      </c>
      <c r="E99" s="7">
        <v>1</v>
      </c>
      <c r="F99" s="40">
        <v>12</v>
      </c>
      <c r="G99" s="40">
        <f t="shared" si="7"/>
        <v>12</v>
      </c>
      <c r="H99" s="40">
        <v>5</v>
      </c>
      <c r="J99" s="40">
        <f>(I5)</f>
        <v>1050</v>
      </c>
      <c r="K99" s="40">
        <f t="shared" si="8"/>
        <v>63000</v>
      </c>
      <c r="L99" s="39"/>
      <c r="M99" s="39">
        <f>(I20)*(K99)</f>
        <v>47250</v>
      </c>
      <c r="O99" s="8">
        <f t="shared" si="9"/>
        <v>126000000</v>
      </c>
      <c r="P99" s="39">
        <f t="shared" si="10"/>
        <v>15750</v>
      </c>
      <c r="Q99" s="39"/>
      <c r="U99" s="38">
        <f t="shared" si="11"/>
        <v>189000000</v>
      </c>
    </row>
    <row r="100" spans="1:21">
      <c r="A100" s="3" t="s">
        <v>227</v>
      </c>
      <c r="B100" s="3" t="s">
        <v>196</v>
      </c>
      <c r="C100" s="8">
        <v>330</v>
      </c>
      <c r="D100" s="8">
        <f t="shared" si="6"/>
        <v>82.5</v>
      </c>
      <c r="E100" s="7">
        <v>1</v>
      </c>
      <c r="F100" s="40">
        <v>12</v>
      </c>
      <c r="G100" s="40">
        <f t="shared" si="7"/>
        <v>12</v>
      </c>
      <c r="H100" s="40">
        <v>5</v>
      </c>
      <c r="J100" s="40">
        <f>(I5)</f>
        <v>1050</v>
      </c>
      <c r="K100" s="40">
        <f t="shared" si="8"/>
        <v>63000</v>
      </c>
      <c r="L100" s="39"/>
      <c r="M100" s="39">
        <f>(I20)*(K100)</f>
        <v>47250</v>
      </c>
      <c r="O100" s="8">
        <f t="shared" si="9"/>
        <v>10395000</v>
      </c>
      <c r="P100" s="39">
        <f t="shared" si="10"/>
        <v>15750</v>
      </c>
      <c r="Q100" s="39"/>
      <c r="U100" s="38">
        <f t="shared" si="11"/>
        <v>15592500</v>
      </c>
    </row>
    <row r="101" spans="1:21">
      <c r="A101" s="3" t="s">
        <v>228</v>
      </c>
      <c r="B101" s="3" t="s">
        <v>196</v>
      </c>
      <c r="C101" s="8">
        <v>1000</v>
      </c>
      <c r="D101" s="8">
        <f t="shared" si="6"/>
        <v>250</v>
      </c>
      <c r="E101" s="7">
        <v>1</v>
      </c>
      <c r="F101" s="40">
        <v>12</v>
      </c>
      <c r="G101" s="40">
        <f t="shared" si="7"/>
        <v>12</v>
      </c>
      <c r="H101" s="40">
        <v>5</v>
      </c>
      <c r="J101" s="40">
        <f>(I5)</f>
        <v>1050</v>
      </c>
      <c r="K101" s="40">
        <f t="shared" si="8"/>
        <v>63000</v>
      </c>
      <c r="L101" s="39">
        <v>5</v>
      </c>
      <c r="M101" s="39">
        <f>(I20)*(K101)</f>
        <v>47250</v>
      </c>
      <c r="O101" s="8">
        <f t="shared" si="9"/>
        <v>31505000</v>
      </c>
      <c r="P101" s="39">
        <f t="shared" si="10"/>
        <v>15745</v>
      </c>
      <c r="Q101" s="39"/>
      <c r="U101" s="38">
        <f t="shared" si="11"/>
        <v>47250000</v>
      </c>
    </row>
    <row r="102" spans="1:21">
      <c r="A102" s="3" t="s">
        <v>229</v>
      </c>
      <c r="B102" s="3" t="s">
        <v>230</v>
      </c>
      <c r="C102" s="8">
        <v>400</v>
      </c>
      <c r="D102" s="8">
        <f t="shared" si="6"/>
        <v>100</v>
      </c>
      <c r="E102" s="7">
        <v>1</v>
      </c>
      <c r="F102" s="40">
        <v>12</v>
      </c>
      <c r="G102" s="40">
        <f t="shared" si="7"/>
        <v>12</v>
      </c>
      <c r="H102" s="40">
        <v>5</v>
      </c>
      <c r="J102" s="40">
        <f>(I5)</f>
        <v>1050</v>
      </c>
      <c r="K102" s="40">
        <f t="shared" si="8"/>
        <v>63000</v>
      </c>
      <c r="L102" s="39"/>
      <c r="M102" s="39">
        <f>(I20)*(K102)</f>
        <v>47250</v>
      </c>
      <c r="O102" s="8">
        <f t="shared" si="9"/>
        <v>12600000</v>
      </c>
      <c r="P102" s="39">
        <f t="shared" si="10"/>
        <v>15750</v>
      </c>
      <c r="Q102" s="39"/>
      <c r="U102" s="38">
        <f t="shared" si="11"/>
        <v>18900000</v>
      </c>
    </row>
    <row r="103" spans="1:21">
      <c r="A103" s="3" t="s">
        <v>405</v>
      </c>
      <c r="B103" s="3" t="s">
        <v>410</v>
      </c>
      <c r="C103" s="8">
        <v>25</v>
      </c>
      <c r="D103" s="8">
        <f t="shared" si="6"/>
        <v>6.25</v>
      </c>
      <c r="E103" s="7">
        <v>0.5</v>
      </c>
      <c r="F103" s="40">
        <v>12</v>
      </c>
      <c r="G103" s="40">
        <f t="shared" si="7"/>
        <v>24</v>
      </c>
      <c r="H103" s="40">
        <v>5</v>
      </c>
      <c r="J103" s="40">
        <f>(I5)</f>
        <v>1050</v>
      </c>
      <c r="K103" s="40">
        <f t="shared" si="8"/>
        <v>126000</v>
      </c>
      <c r="L103" s="39">
        <v>125</v>
      </c>
      <c r="M103" s="39">
        <f>((I26*K103))</f>
        <v>113400</v>
      </c>
      <c r="O103" s="8">
        <f t="shared" si="9"/>
        <v>2050625</v>
      </c>
      <c r="P103" s="39">
        <f t="shared" si="10"/>
        <v>12475</v>
      </c>
      <c r="Q103" s="39"/>
      <c r="U103" s="38">
        <f t="shared" si="11"/>
        <v>2835000</v>
      </c>
    </row>
    <row r="104" spans="1:21">
      <c r="A104" s="3" t="s">
        <v>406</v>
      </c>
      <c r="B104" s="3" t="s">
        <v>410</v>
      </c>
      <c r="C104" s="8">
        <v>25</v>
      </c>
      <c r="D104" s="8">
        <f t="shared" si="6"/>
        <v>6.25</v>
      </c>
      <c r="E104" s="7">
        <v>0.5</v>
      </c>
      <c r="F104" s="40">
        <v>12</v>
      </c>
      <c r="G104" s="40">
        <f t="shared" si="7"/>
        <v>24</v>
      </c>
      <c r="H104" s="40">
        <v>5</v>
      </c>
      <c r="J104" s="40">
        <f>(I5)</f>
        <v>1050</v>
      </c>
      <c r="K104" s="40">
        <f t="shared" si="8"/>
        <v>126000</v>
      </c>
      <c r="L104" s="39"/>
      <c r="M104" s="39">
        <f>(I26)*(K104)</f>
        <v>113400</v>
      </c>
      <c r="O104" s="8">
        <f t="shared" si="9"/>
        <v>2047500</v>
      </c>
      <c r="P104" s="39">
        <f t="shared" si="10"/>
        <v>12600</v>
      </c>
      <c r="Q104" s="39"/>
      <c r="U104" s="38">
        <f t="shared" si="11"/>
        <v>2835000</v>
      </c>
    </row>
    <row r="105" spans="1:21">
      <c r="A105" s="3" t="s">
        <v>407</v>
      </c>
      <c r="B105" s="3" t="s">
        <v>410</v>
      </c>
      <c r="C105" s="8">
        <v>25</v>
      </c>
      <c r="D105" s="8">
        <f t="shared" si="6"/>
        <v>6.25</v>
      </c>
      <c r="E105" s="7">
        <v>0.5</v>
      </c>
      <c r="F105" s="40">
        <v>12</v>
      </c>
      <c r="G105" s="40">
        <f t="shared" si="7"/>
        <v>24</v>
      </c>
      <c r="H105" s="40">
        <v>5</v>
      </c>
      <c r="J105" s="40">
        <f>(I5)</f>
        <v>1050</v>
      </c>
      <c r="K105" s="40">
        <f t="shared" si="8"/>
        <v>126000</v>
      </c>
      <c r="L105" s="39">
        <v>100</v>
      </c>
      <c r="M105" s="39">
        <f>(I26)*(K105)</f>
        <v>113400</v>
      </c>
      <c r="O105" s="8">
        <f t="shared" si="9"/>
        <v>2050000</v>
      </c>
      <c r="P105" s="39">
        <f t="shared" si="10"/>
        <v>12500</v>
      </c>
      <c r="Q105" s="39"/>
      <c r="U105" s="38">
        <f t="shared" si="11"/>
        <v>2835000</v>
      </c>
    </row>
    <row r="106" spans="1:21">
      <c r="A106" s="3" t="s">
        <v>408</v>
      </c>
      <c r="B106" s="3" t="s">
        <v>410</v>
      </c>
      <c r="C106" s="8">
        <v>25</v>
      </c>
      <c r="D106" s="8">
        <f t="shared" si="6"/>
        <v>6.25</v>
      </c>
      <c r="E106" s="7">
        <v>0.5</v>
      </c>
      <c r="F106" s="40">
        <v>12</v>
      </c>
      <c r="G106" s="40">
        <f t="shared" si="7"/>
        <v>24</v>
      </c>
      <c r="H106" s="40">
        <v>5</v>
      </c>
      <c r="J106" s="40">
        <f>(I5)</f>
        <v>1050</v>
      </c>
      <c r="K106" s="40">
        <f t="shared" si="8"/>
        <v>126000</v>
      </c>
      <c r="L106" s="39"/>
      <c r="M106" s="39">
        <f>(I26)*(K106)</f>
        <v>113400</v>
      </c>
      <c r="O106" s="8">
        <f t="shared" si="9"/>
        <v>2047500</v>
      </c>
      <c r="P106" s="39">
        <f t="shared" si="10"/>
        <v>12600</v>
      </c>
      <c r="Q106" s="39"/>
      <c r="U106" s="38">
        <f t="shared" si="11"/>
        <v>2835000</v>
      </c>
    </row>
    <row r="107" spans="1:21">
      <c r="A107" s="3" t="s">
        <v>409</v>
      </c>
      <c r="B107" s="3" t="s">
        <v>410</v>
      </c>
      <c r="C107" s="8">
        <v>25</v>
      </c>
      <c r="D107" s="8">
        <f t="shared" si="6"/>
        <v>6.25</v>
      </c>
      <c r="E107" s="7">
        <v>0.5</v>
      </c>
      <c r="F107" s="40">
        <v>12</v>
      </c>
      <c r="G107" s="40">
        <f t="shared" si="7"/>
        <v>24</v>
      </c>
      <c r="H107" s="40">
        <v>5</v>
      </c>
      <c r="J107" s="40">
        <f>(I5)</f>
        <v>1050</v>
      </c>
      <c r="K107" s="40">
        <f t="shared" si="8"/>
        <v>126000</v>
      </c>
      <c r="L107" s="39">
        <v>100</v>
      </c>
      <c r="M107" s="39">
        <f>(I26)*(K107)</f>
        <v>113400</v>
      </c>
      <c r="O107" s="8">
        <f t="shared" si="9"/>
        <v>2050000</v>
      </c>
      <c r="P107" s="39">
        <f t="shared" si="10"/>
        <v>12500</v>
      </c>
      <c r="Q107" s="39"/>
      <c r="U107" s="38">
        <f t="shared" si="11"/>
        <v>2835000</v>
      </c>
    </row>
    <row r="108" spans="1:21">
      <c r="A108" s="3" t="s">
        <v>252</v>
      </c>
      <c r="B108" s="3" t="s">
        <v>410</v>
      </c>
      <c r="C108" s="8">
        <v>100</v>
      </c>
      <c r="D108" s="8">
        <f t="shared" si="6"/>
        <v>25</v>
      </c>
      <c r="E108" s="7">
        <v>0.5</v>
      </c>
      <c r="F108" s="40">
        <v>12</v>
      </c>
      <c r="G108" s="40">
        <f t="shared" si="7"/>
        <v>24</v>
      </c>
      <c r="H108" s="40">
        <v>5</v>
      </c>
      <c r="J108" s="40">
        <f>(I5)</f>
        <v>1050</v>
      </c>
      <c r="K108" s="40">
        <f>(G108*H108)*(J108)</f>
        <v>126000</v>
      </c>
      <c r="L108" s="39"/>
      <c r="M108" s="39">
        <f>(I26)*(K108)</f>
        <v>113400</v>
      </c>
      <c r="O108" s="8">
        <f t="shared" si="9"/>
        <v>8190000</v>
      </c>
      <c r="P108" s="39">
        <f t="shared" si="10"/>
        <v>12600</v>
      </c>
      <c r="Q108" s="39"/>
      <c r="U108" s="38">
        <f t="shared" si="11"/>
        <v>11340000</v>
      </c>
    </row>
    <row r="109" spans="1:21">
      <c r="A109" s="3" t="s">
        <v>415</v>
      </c>
      <c r="B109" s="3" t="s">
        <v>410</v>
      </c>
      <c r="C109" s="8">
        <v>250</v>
      </c>
      <c r="D109" s="8">
        <f t="shared" si="6"/>
        <v>62.5</v>
      </c>
      <c r="E109" s="7">
        <v>0.5</v>
      </c>
      <c r="F109" s="40">
        <v>12</v>
      </c>
      <c r="G109" s="40">
        <f t="shared" si="7"/>
        <v>24</v>
      </c>
      <c r="H109" s="40">
        <v>5</v>
      </c>
      <c r="J109" s="40">
        <f>(I5)</f>
        <v>1050</v>
      </c>
      <c r="K109" s="40">
        <f>(G109*H109)*(J109)</f>
        <v>126000</v>
      </c>
      <c r="L109" s="39">
        <v>100</v>
      </c>
      <c r="M109" s="39">
        <f>(I26)*(K109)</f>
        <v>113400</v>
      </c>
      <c r="O109" s="8">
        <f t="shared" si="9"/>
        <v>20500000</v>
      </c>
      <c r="P109" s="39">
        <f t="shared" si="10"/>
        <v>12500</v>
      </c>
      <c r="Q109" s="39"/>
      <c r="U109" s="38">
        <f t="shared" si="11"/>
        <v>28350000</v>
      </c>
    </row>
    <row r="110" spans="1:21">
      <c r="A110" s="3" t="s">
        <v>416</v>
      </c>
      <c r="B110" s="3" t="s">
        <v>410</v>
      </c>
      <c r="C110" s="8">
        <v>500</v>
      </c>
      <c r="D110" s="8">
        <f t="shared" si="6"/>
        <v>125</v>
      </c>
      <c r="E110" s="7">
        <v>0.5</v>
      </c>
      <c r="F110" s="40">
        <v>12</v>
      </c>
      <c r="G110" s="40">
        <f t="shared" si="7"/>
        <v>24</v>
      </c>
      <c r="H110" s="40">
        <v>5</v>
      </c>
      <c r="J110" s="40">
        <f>(I5)</f>
        <v>1050</v>
      </c>
      <c r="K110" s="40">
        <f>(G110*H110)*(J110)</f>
        <v>126000</v>
      </c>
      <c r="L110" s="39">
        <v>100</v>
      </c>
      <c r="M110" s="39">
        <f>(I26)*(K110)</f>
        <v>113400</v>
      </c>
      <c r="O110" s="8">
        <f t="shared" si="9"/>
        <v>41000000</v>
      </c>
      <c r="P110" s="39">
        <f t="shared" si="10"/>
        <v>12500</v>
      </c>
      <c r="Q110" s="39"/>
      <c r="U110" s="38">
        <f t="shared" si="11"/>
        <v>56700000</v>
      </c>
    </row>
    <row r="111" spans="1:21">
      <c r="T111" s="3" t="s">
        <v>170</v>
      </c>
      <c r="U111" s="38">
        <f>SUM(U5:U110)</f>
        <v>122429110124.99997</v>
      </c>
    </row>
    <row r="112" spans="1:21">
      <c r="D112" s="8">
        <f>SUM(D5:D111)</f>
        <v>12435952.75</v>
      </c>
      <c r="H112" s="7">
        <f>SUM(H5:H111)</f>
        <v>8025</v>
      </c>
      <c r="K112" s="7">
        <f>SUM(K5:K111)</f>
        <v>25224525</v>
      </c>
    </row>
    <row r="114" spans="20:21">
      <c r="T114" s="3" t="s">
        <v>36</v>
      </c>
      <c r="U114" s="78">
        <f>U111/I32</f>
        <v>41975694899.999992</v>
      </c>
    </row>
  </sheetData>
  <sheetCalcPr fullCalcOnLoad="1"/>
  <mergeCells count="2">
    <mergeCell ref="C1:P1"/>
    <mergeCell ref="C2:P2"/>
  </mergeCells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K34"/>
  <sheetViews>
    <sheetView tabSelected="1" zoomScale="150" workbookViewId="0">
      <selection activeCell="G4" sqref="G4"/>
    </sheetView>
  </sheetViews>
  <sheetFormatPr baseColWidth="10" defaultColWidth="9.1640625" defaultRowHeight="12"/>
  <cols>
    <col min="1" max="1" width="23" style="47" customWidth="1"/>
    <col min="2" max="2" width="20.5" style="47" bestFit="1" customWidth="1"/>
    <col min="3" max="3" width="22" style="19" customWidth="1"/>
    <col min="4" max="4" width="20.5" style="47" bestFit="1" customWidth="1"/>
    <col min="5" max="5" width="21.1640625" style="47" customWidth="1"/>
    <col min="6" max="6" width="16.5" style="19" bestFit="1" customWidth="1"/>
    <col min="7" max="7" width="22.1640625" style="47" customWidth="1"/>
    <col min="8" max="8" width="20.33203125" style="47" customWidth="1"/>
    <col min="9" max="9" width="5.83203125" style="16" bestFit="1" customWidth="1"/>
    <col min="10" max="10" width="9.1640625" style="16"/>
    <col min="11" max="11" width="13" style="16" customWidth="1"/>
    <col min="12" max="16384" width="9.1640625" style="16"/>
  </cols>
  <sheetData>
    <row r="2" spans="1:11" s="23" customFormat="1" ht="13">
      <c r="A2" s="45" t="s">
        <v>337</v>
      </c>
      <c r="B2" s="45" t="s">
        <v>173</v>
      </c>
      <c r="C2" s="22" t="s">
        <v>175</v>
      </c>
      <c r="D2" s="45" t="s">
        <v>54</v>
      </c>
      <c r="E2" s="45" t="s">
        <v>52</v>
      </c>
      <c r="F2" s="22" t="s">
        <v>53</v>
      </c>
      <c r="G2" s="45" t="s">
        <v>55</v>
      </c>
      <c r="H2" s="45" t="s">
        <v>174</v>
      </c>
      <c r="I2" s="23" t="s">
        <v>333</v>
      </c>
      <c r="J2" s="23" t="s">
        <v>42</v>
      </c>
      <c r="K2" s="23" t="s">
        <v>384</v>
      </c>
    </row>
    <row r="3" spans="1:11" s="25" customFormat="1" ht="11">
      <c r="A3" s="44">
        <v>41666666666.669998</v>
      </c>
      <c r="B3" s="44">
        <v>53454409</v>
      </c>
      <c r="C3" s="24" t="s">
        <v>57</v>
      </c>
      <c r="D3" s="44">
        <f>SUM(B3:B13)</f>
        <v>575473082847263.12</v>
      </c>
      <c r="E3" s="44">
        <f>1000000000000.08</f>
        <v>1000000000000.08</v>
      </c>
      <c r="F3" s="24" t="s">
        <v>383</v>
      </c>
      <c r="G3" s="44">
        <f>SUM(E3:E12)</f>
        <v>419733431733271.31</v>
      </c>
      <c r="H3" s="44">
        <f>(A3+G3)-(D3)</f>
        <v>-155697984447325.12</v>
      </c>
      <c r="I3" s="25">
        <f>Inventory!I5</f>
        <v>1050</v>
      </c>
      <c r="J3" s="43">
        <f>Inventory!I29</f>
        <v>35</v>
      </c>
      <c r="K3" s="25">
        <f>Inventory!I29-24</f>
        <v>11</v>
      </c>
    </row>
    <row r="4" spans="1:11" s="25" customFormat="1" ht="11">
      <c r="A4" s="44"/>
      <c r="B4" s="44">
        <f>Employees!J3</f>
        <v>2975000</v>
      </c>
      <c r="C4" s="24" t="s">
        <v>59</v>
      </c>
      <c r="D4" s="44"/>
      <c r="E4" s="44">
        <f>(0.05)*('SSC Treasury'!G3)</f>
        <v>8186741308271.25</v>
      </c>
      <c r="F4" s="24" t="s">
        <v>171</v>
      </c>
      <c r="G4" s="44"/>
      <c r="H4" s="44"/>
    </row>
    <row r="5" spans="1:11" s="25" customFormat="1" ht="11">
      <c r="A5" s="44"/>
      <c r="B5" s="44">
        <f>'NPC Employees'!E2</f>
        <v>28895908686008.355</v>
      </c>
      <c r="C5" s="24" t="s">
        <v>41</v>
      </c>
      <c r="D5" s="44"/>
      <c r="E5" s="44">
        <f>(C20)*(0.1)</f>
        <v>122437940424999.98</v>
      </c>
      <c r="F5" s="24" t="s">
        <v>47</v>
      </c>
      <c r="G5" s="44"/>
      <c r="H5" s="44"/>
    </row>
    <row r="6" spans="1:11" s="25" customFormat="1" ht="11">
      <c r="A6" s="44"/>
      <c r="B6" s="44">
        <f>('SSC Treasury'!E6)*(0.1)</f>
        <v>12242911012.499998</v>
      </c>
      <c r="C6" s="24" t="s">
        <v>43</v>
      </c>
      <c r="D6" s="44"/>
      <c r="E6" s="44">
        <f>(100)*(D20)</f>
        <v>1850000000000</v>
      </c>
      <c r="F6" s="24" t="s">
        <v>48</v>
      </c>
      <c r="G6" s="44"/>
      <c r="H6" s="44"/>
    </row>
    <row r="7" spans="1:11" s="25" customFormat="1" ht="11">
      <c r="A7" s="44"/>
      <c r="B7" s="44">
        <f>(B20)*(0.05)</f>
        <v>2083333333.3334999</v>
      </c>
      <c r="C7" s="24" t="s">
        <v>45</v>
      </c>
      <c r="D7" s="44"/>
      <c r="E7" s="44">
        <f>E26</f>
        <v>209790000000000</v>
      </c>
      <c r="F7" s="24" t="s">
        <v>141</v>
      </c>
      <c r="G7" s="44"/>
      <c r="H7" s="44"/>
    </row>
    <row r="8" spans="1:11" s="25" customFormat="1" ht="11">
      <c r="A8" s="44"/>
      <c r="B8" s="44">
        <f>(100)*'SSC NPC Employees'!B5</f>
        <v>925000000000</v>
      </c>
      <c r="C8" s="24" t="s">
        <v>35</v>
      </c>
      <c r="D8" s="44"/>
      <c r="E8" s="44">
        <f>((B30*0.8)*2)</f>
        <v>62160000000000</v>
      </c>
      <c r="F8" s="24" t="s">
        <v>366</v>
      </c>
      <c r="G8" s="44"/>
      <c r="H8" s="44"/>
    </row>
    <row r="9" spans="1:11" s="25" customFormat="1" ht="11">
      <c r="A9" s="44"/>
      <c r="B9" s="44">
        <f>C20*0.25</f>
        <v>306094851062499.94</v>
      </c>
      <c r="C9" s="24" t="s">
        <v>138</v>
      </c>
      <c r="D9" s="44"/>
      <c r="E9" s="44">
        <f>((D30*0.8)*2)</f>
        <v>12432000000000</v>
      </c>
      <c r="F9" s="24" t="s">
        <v>367</v>
      </c>
      <c r="G9" s="44"/>
      <c r="H9" s="44"/>
    </row>
    <row r="10" spans="1:11" s="25" customFormat="1" ht="11">
      <c r="A10" s="44"/>
      <c r="B10" s="44">
        <f>A30</f>
        <v>97125000000000</v>
      </c>
      <c r="C10" s="24" t="s">
        <v>139</v>
      </c>
      <c r="D10" s="44"/>
      <c r="E10" s="44">
        <f>10*'NPC Employees'!B35</f>
        <v>1257999999999.9998</v>
      </c>
      <c r="F10" s="24" t="s">
        <v>401</v>
      </c>
      <c r="G10" s="44"/>
      <c r="H10" s="44"/>
    </row>
    <row r="11" spans="1:11" s="25" customFormat="1" ht="11">
      <c r="A11" s="44"/>
      <c r="B11" s="44">
        <f>C30</f>
        <v>19425000000000</v>
      </c>
      <c r="C11" s="24" t="s">
        <v>140</v>
      </c>
      <c r="D11" s="44"/>
      <c r="E11" s="44">
        <f>(56250000000)*K3</f>
        <v>618750000000</v>
      </c>
      <c r="F11" s="24" t="s">
        <v>385</v>
      </c>
      <c r="G11" s="44"/>
      <c r="H11" s="44"/>
    </row>
    <row r="12" spans="1:11" s="25" customFormat="1" ht="11">
      <c r="A12" s="44"/>
      <c r="B12" s="44">
        <f>0.1*C20</f>
        <v>122437940424999.98</v>
      </c>
      <c r="C12" s="24" t="s">
        <v>7</v>
      </c>
      <c r="D12" s="44"/>
      <c r="E12" s="44"/>
      <c r="F12" s="24"/>
      <c r="G12" s="44"/>
      <c r="H12" s="44"/>
    </row>
    <row r="13" spans="1:11" s="25" customFormat="1" ht="11">
      <c r="A13" s="44"/>
      <c r="B13" s="44">
        <f>(Inventory!C32*'NPC Employees'!B27)</f>
        <v>555000000000</v>
      </c>
      <c r="C13" s="24" t="s">
        <v>90</v>
      </c>
      <c r="D13" s="44"/>
      <c r="E13" s="44"/>
      <c r="F13" s="24"/>
      <c r="G13" s="44"/>
      <c r="H13" s="44"/>
    </row>
    <row r="14" spans="1:11" s="25" customFormat="1" ht="11">
      <c r="A14" s="44"/>
      <c r="B14" s="44">
        <f>(5*Utilities!H51)+(100*Utilities!H51)+(Utilities!N4)</f>
        <v>39693784500000</v>
      </c>
      <c r="C14" s="24" t="s">
        <v>400</v>
      </c>
      <c r="D14" s="44"/>
      <c r="E14" s="44"/>
      <c r="F14" s="24"/>
      <c r="G14" s="44"/>
      <c r="H14" s="44"/>
    </row>
    <row r="15" spans="1:11" s="25" customFormat="1" ht="11">
      <c r="A15" s="44"/>
      <c r="B15" s="44">
        <f>Sales!N50</f>
        <v>658800000</v>
      </c>
      <c r="C15" s="24" t="s">
        <v>444</v>
      </c>
      <c r="D15" s="44"/>
      <c r="E15" s="44"/>
      <c r="F15" s="24"/>
      <c r="G15" s="44"/>
      <c r="H15" s="44"/>
    </row>
    <row r="16" spans="1:11" s="25" customFormat="1" ht="11">
      <c r="A16" s="44"/>
      <c r="B16" s="44">
        <f>Sales!N52</f>
        <v>4500000</v>
      </c>
      <c r="C16" s="24" t="s">
        <v>379</v>
      </c>
      <c r="D16" s="44"/>
      <c r="E16" s="44"/>
      <c r="F16" s="24"/>
      <c r="G16" s="44"/>
      <c r="H16" s="44"/>
    </row>
    <row r="17" spans="1:8" s="25" customFormat="1" ht="11">
      <c r="A17" s="44"/>
      <c r="B17" s="44"/>
      <c r="C17" s="24"/>
      <c r="D17" s="44"/>
      <c r="E17" s="44"/>
      <c r="F17" s="24"/>
      <c r="G17" s="44"/>
      <c r="H17" s="44"/>
    </row>
    <row r="18" spans="1:8" s="25" customFormat="1" ht="11">
      <c r="A18" s="44"/>
      <c r="B18" s="44"/>
      <c r="C18" s="24"/>
      <c r="D18" s="44"/>
      <c r="E18" s="44"/>
      <c r="F18" s="24"/>
      <c r="G18" s="44"/>
      <c r="H18" s="44"/>
    </row>
    <row r="19" spans="1:8" s="25" customFormat="1" ht="13">
      <c r="A19" s="46" t="s">
        <v>56</v>
      </c>
      <c r="B19" s="46" t="s">
        <v>44</v>
      </c>
      <c r="C19" s="46" t="s">
        <v>46</v>
      </c>
      <c r="D19" s="46" t="s">
        <v>49</v>
      </c>
      <c r="E19" s="44"/>
      <c r="F19" s="24"/>
      <c r="G19" s="44"/>
      <c r="H19" s="44"/>
    </row>
    <row r="20" spans="1:8" s="25" customFormat="1" ht="11">
      <c r="A20" s="44">
        <f>(D3)/(I3)</f>
        <v>548069602711.67914</v>
      </c>
      <c r="B20" s="44">
        <f>(41666666666.67)</f>
        <v>41666666666.669998</v>
      </c>
      <c r="C20" s="50">
        <f>'SSC Treasury'!D22</f>
        <v>1224379404249999.8</v>
      </c>
      <c r="D20" s="44">
        <f>'NPC Employees'!F2</f>
        <v>18500000000</v>
      </c>
      <c r="E20" s="44"/>
      <c r="F20" s="24"/>
      <c r="G20" s="44">
        <f>B20*24</f>
        <v>1000000000000.08</v>
      </c>
      <c r="H20" s="44"/>
    </row>
    <row r="21" spans="1:8" s="25" customFormat="1" ht="11">
      <c r="A21" s="50"/>
      <c r="B21" s="50"/>
      <c r="C21" s="50"/>
      <c r="D21" s="50"/>
      <c r="E21" s="50"/>
      <c r="F21" s="24"/>
      <c r="G21" s="50"/>
      <c r="H21" s="50"/>
    </row>
    <row r="22" spans="1:8" s="25" customFormat="1" ht="13">
      <c r="A22" s="50"/>
      <c r="B22" s="46" t="s">
        <v>382</v>
      </c>
      <c r="C22" s="50"/>
      <c r="D22" s="50"/>
      <c r="E22" s="50"/>
      <c r="F22" s="24"/>
      <c r="G22" s="50"/>
      <c r="H22" s="50"/>
    </row>
    <row r="23" spans="1:8">
      <c r="B23" s="72">
        <f>(B20*0.35)+B20</f>
        <v>56250000000.004501</v>
      </c>
    </row>
    <row r="25" spans="1:8">
      <c r="A25" s="47" t="s">
        <v>139</v>
      </c>
      <c r="B25" s="47" t="s">
        <v>142</v>
      </c>
      <c r="C25" s="19" t="s">
        <v>143</v>
      </c>
      <c r="D25" s="47" t="s">
        <v>144</v>
      </c>
      <c r="E25" s="47" t="s">
        <v>145</v>
      </c>
    </row>
    <row r="26" spans="1:8">
      <c r="A26" s="69">
        <f>(5)*(B26)</f>
        <v>971250000000000</v>
      </c>
      <c r="B26" s="68">
        <f>(10*'NPC Employees'!$F$2)*(I3)</f>
        <v>194250000000000</v>
      </c>
      <c r="C26" s="69">
        <f>(2)*(D26)</f>
        <v>77700000000000</v>
      </c>
      <c r="D26" s="68">
        <f>((2*'NPC Employees'!F2))*(I3)</f>
        <v>38850000000000</v>
      </c>
      <c r="E26" s="47">
        <f>(0.2)*(A26+C26)</f>
        <v>209790000000000</v>
      </c>
    </row>
    <row r="29" spans="1:8">
      <c r="A29" s="47" t="s">
        <v>0</v>
      </c>
      <c r="B29" s="47" t="s">
        <v>4</v>
      </c>
      <c r="C29" s="19" t="s">
        <v>1</v>
      </c>
      <c r="D29" s="47" t="s">
        <v>3</v>
      </c>
      <c r="E29" s="47" t="s">
        <v>2</v>
      </c>
    </row>
    <row r="30" spans="1:8">
      <c r="A30" s="69">
        <f>2.5*B30</f>
        <v>97125000000000</v>
      </c>
      <c r="B30" s="70">
        <f>B26*(0.2)</f>
        <v>38850000000000</v>
      </c>
      <c r="C30" s="69">
        <f>2.5*D30</f>
        <v>19425000000000</v>
      </c>
      <c r="D30" s="71">
        <f>0.2*D26</f>
        <v>7770000000000</v>
      </c>
      <c r="E30" s="47">
        <f>(B30+D30)</f>
        <v>46620000000000</v>
      </c>
    </row>
    <row r="34" spans="2:2">
      <c r="B34" s="70"/>
    </row>
  </sheetData>
  <sheetCalcPr fullCalcOnLoad="1"/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0"/>
  <sheetViews>
    <sheetView workbookViewId="0">
      <selection activeCell="B10" sqref="B10"/>
    </sheetView>
  </sheetViews>
  <sheetFormatPr baseColWidth="10" defaultRowHeight="12"/>
  <cols>
    <col min="1" max="1" width="19.6640625" bestFit="1" customWidth="1"/>
    <col min="2" max="2" width="18.83203125" style="60" bestFit="1" customWidth="1"/>
    <col min="3" max="3" width="17" style="49" bestFit="1" customWidth="1"/>
    <col min="4" max="4" width="6.5" bestFit="1" customWidth="1"/>
    <col min="5" max="5" width="21.5" style="49" bestFit="1" customWidth="1"/>
    <col min="6" max="6" width="19.83203125" bestFit="1" customWidth="1"/>
    <col min="7" max="7" width="27" style="49" bestFit="1" customWidth="1"/>
    <col min="8" max="8" width="15.83203125" style="49" bestFit="1" customWidth="1"/>
    <col min="9" max="9" width="22.1640625" style="49" bestFit="1" customWidth="1"/>
    <col min="10" max="10" width="17.1640625" style="49" bestFit="1" customWidth="1"/>
    <col min="11" max="11" width="24.5" style="49" bestFit="1" customWidth="1"/>
    <col min="12" max="12" width="18.83203125" bestFit="1" customWidth="1"/>
    <col min="13" max="13" width="21" bestFit="1" customWidth="1"/>
  </cols>
  <sheetData>
    <row r="1" spans="1:13" ht="17">
      <c r="A1" s="17" t="s">
        <v>324</v>
      </c>
      <c r="B1" s="58" t="s">
        <v>328</v>
      </c>
      <c r="C1" s="48" t="s">
        <v>332</v>
      </c>
      <c r="D1" s="17" t="s">
        <v>333</v>
      </c>
      <c r="E1" s="48" t="s">
        <v>257</v>
      </c>
      <c r="F1" s="17" t="s">
        <v>38</v>
      </c>
      <c r="G1" s="48" t="s">
        <v>12</v>
      </c>
      <c r="H1" s="48" t="s">
        <v>39</v>
      </c>
      <c r="I1" s="48" t="s">
        <v>40</v>
      </c>
      <c r="J1" s="48" t="s">
        <v>15</v>
      </c>
      <c r="K1" s="48" t="s">
        <v>17</v>
      </c>
      <c r="L1" s="17" t="s">
        <v>16</v>
      </c>
      <c r="M1" s="48" t="s">
        <v>18</v>
      </c>
    </row>
    <row r="2" spans="1:13">
      <c r="A2" s="16" t="s">
        <v>13</v>
      </c>
      <c r="B2" s="59">
        <f>(F2)/(5000)</f>
        <v>3700000</v>
      </c>
      <c r="C2" s="47">
        <f>(B2)*(G2)</f>
        <v>444000000</v>
      </c>
      <c r="D2" s="16">
        <f>'Sullust Treasury'!I3</f>
        <v>1050</v>
      </c>
      <c r="E2" s="47">
        <f>SUM(C2:C103)*(D2)</f>
        <v>28895908686008.355</v>
      </c>
      <c r="F2" s="42">
        <v>18500000000</v>
      </c>
      <c r="G2" s="49">
        <v>120</v>
      </c>
      <c r="H2" s="49">
        <v>160</v>
      </c>
      <c r="I2" s="49">
        <v>90</v>
      </c>
      <c r="J2" s="49">
        <v>160</v>
      </c>
      <c r="K2" s="49">
        <v>96</v>
      </c>
      <c r="L2" s="49">
        <v>144</v>
      </c>
      <c r="M2" s="49">
        <v>144</v>
      </c>
    </row>
    <row r="3" spans="1:13">
      <c r="A3" s="16" t="s">
        <v>180</v>
      </c>
      <c r="B3" s="59">
        <f>(F2)/(5000)</f>
        <v>3700000</v>
      </c>
      <c r="C3" s="47">
        <f>(B3)*(H2)</f>
        <v>592000000</v>
      </c>
      <c r="D3" s="16"/>
      <c r="E3" s="47"/>
    </row>
    <row r="4" spans="1:13" ht="17">
      <c r="A4" s="16" t="s">
        <v>181</v>
      </c>
      <c r="B4" s="59">
        <f>(F2)/(250)</f>
        <v>74000000</v>
      </c>
      <c r="C4" s="47">
        <f>(B4)*(I2)</f>
        <v>6660000000</v>
      </c>
      <c r="D4" s="16"/>
      <c r="E4" s="47"/>
      <c r="G4" s="48" t="s">
        <v>20</v>
      </c>
      <c r="H4" s="55" t="s">
        <v>86</v>
      </c>
    </row>
    <row r="5" spans="1:13">
      <c r="A5" s="16" t="s">
        <v>14</v>
      </c>
      <c r="B5" s="59">
        <f>(F2)/(10000)</f>
        <v>1850000</v>
      </c>
      <c r="C5" s="47">
        <f>(B5)*(J2)</f>
        <v>296000000</v>
      </c>
      <c r="D5" s="16"/>
      <c r="E5" s="47"/>
      <c r="G5" s="49">
        <v>240</v>
      </c>
      <c r="H5" s="49">
        <v>120</v>
      </c>
    </row>
    <row r="6" spans="1:13">
      <c r="A6" s="16" t="s">
        <v>182</v>
      </c>
      <c r="B6" s="59">
        <f>(F2)/(100)</f>
        <v>185000000</v>
      </c>
      <c r="C6" s="47">
        <f>(B6)*(K2)</f>
        <v>17760000000</v>
      </c>
      <c r="D6" s="16"/>
      <c r="E6" s="47"/>
    </row>
    <row r="7" spans="1:13">
      <c r="A7" s="16" t="s">
        <v>50</v>
      </c>
      <c r="B7" s="59">
        <f>(F2)/(2500000)</f>
        <v>7400</v>
      </c>
      <c r="C7" s="47">
        <f>(B7)*(L2)</f>
        <v>1065600</v>
      </c>
      <c r="D7" s="16"/>
      <c r="E7" s="47"/>
    </row>
    <row r="8" spans="1:13">
      <c r="A8" s="16" t="s">
        <v>11</v>
      </c>
      <c r="B8" s="59">
        <f>(F2)/(500000)</f>
        <v>37000</v>
      </c>
      <c r="C8" s="47">
        <f>(B8)*(M2)</f>
        <v>5328000</v>
      </c>
      <c r="D8" s="16"/>
      <c r="E8" s="47"/>
    </row>
    <row r="9" spans="1:13">
      <c r="A9" s="16" t="s">
        <v>19</v>
      </c>
      <c r="B9" s="59">
        <f>(F2)/(5000000)</f>
        <v>3700</v>
      </c>
      <c r="C9" s="47">
        <f>(B9)*(G5)</f>
        <v>888000</v>
      </c>
      <c r="D9" s="16"/>
      <c r="E9" s="47"/>
    </row>
    <row r="10" spans="1:13">
      <c r="A10" s="16" t="s">
        <v>85</v>
      </c>
      <c r="B10" s="70">
        <f>B28</f>
        <v>12333333.333333336</v>
      </c>
      <c r="C10" s="72">
        <f>(B10*H5)</f>
        <v>1480000000.0000002</v>
      </c>
      <c r="D10" s="16"/>
      <c r="E10" s="72"/>
      <c r="G10" s="57"/>
      <c r="H10" s="57"/>
      <c r="I10" s="57"/>
      <c r="J10" s="57"/>
      <c r="K10" s="57"/>
    </row>
    <row r="11" spans="1:13">
      <c r="A11" s="16"/>
      <c r="B11" s="70"/>
      <c r="C11" s="72"/>
      <c r="D11" s="16"/>
      <c r="E11" s="72"/>
      <c r="G11" s="57"/>
      <c r="H11" s="57"/>
      <c r="I11" s="57"/>
      <c r="J11" s="57"/>
      <c r="K11" s="57"/>
    </row>
    <row r="12" spans="1:13">
      <c r="A12" s="16"/>
      <c r="B12" s="59"/>
      <c r="C12" s="47"/>
      <c r="D12" s="16"/>
      <c r="E12" s="47"/>
    </row>
    <row r="13" spans="1:13">
      <c r="A13" s="16" t="s">
        <v>162</v>
      </c>
      <c r="B13" s="59">
        <f>SUM(B2:B12)</f>
        <v>280631433.33333331</v>
      </c>
      <c r="C13" s="47" t="s">
        <v>162</v>
      </c>
      <c r="D13" s="16"/>
      <c r="E13" s="47" t="s">
        <v>163</v>
      </c>
      <c r="F13" s="63" t="s">
        <v>164</v>
      </c>
      <c r="G13" s="47" t="s">
        <v>155</v>
      </c>
      <c r="H13" s="49" t="s">
        <v>165</v>
      </c>
    </row>
    <row r="14" spans="1:13">
      <c r="A14" s="16" t="s">
        <v>160</v>
      </c>
      <c r="B14" s="59">
        <f>(0.36)*F2</f>
        <v>6660000000</v>
      </c>
      <c r="C14" s="64">
        <f>B13</f>
        <v>280631433.33333331</v>
      </c>
      <c r="D14" s="64"/>
      <c r="E14" s="64">
        <f>B14</f>
        <v>6660000000</v>
      </c>
      <c r="F14" s="65">
        <f>B15</f>
        <v>9250000000</v>
      </c>
      <c r="G14" s="65">
        <f>B22</f>
        <v>1014368566.6666679</v>
      </c>
      <c r="H14" s="65">
        <f>B16</f>
        <v>1295000000.0000002</v>
      </c>
    </row>
    <row r="15" spans="1:13">
      <c r="A15" s="16" t="s">
        <v>161</v>
      </c>
      <c r="B15" s="59">
        <f>'SSC NPC Employees'!B5</f>
        <v>9250000000</v>
      </c>
      <c r="C15" s="47"/>
      <c r="D15" s="16"/>
      <c r="E15" s="47"/>
    </row>
    <row r="16" spans="1:13">
      <c r="A16" s="16" t="s">
        <v>165</v>
      </c>
      <c r="B16" s="64">
        <f>(0.07)*F2</f>
        <v>1295000000.0000002</v>
      </c>
      <c r="C16" s="47" t="s">
        <v>166</v>
      </c>
      <c r="D16" s="16"/>
      <c r="E16" s="47" t="s">
        <v>107</v>
      </c>
      <c r="F16" t="s">
        <v>108</v>
      </c>
      <c r="G16" s="49" t="s">
        <v>109</v>
      </c>
      <c r="H16" s="49" t="s">
        <v>110</v>
      </c>
    </row>
    <row r="17" spans="1:11">
      <c r="A17" s="16"/>
      <c r="B17" s="59"/>
      <c r="C17" s="66">
        <f>C14/F2</f>
        <v>1.5169266666666665E-2</v>
      </c>
      <c r="D17" s="16"/>
      <c r="E17" s="66">
        <f>E14/F2</f>
        <v>0.36</v>
      </c>
      <c r="F17" s="67">
        <f>F14/F2</f>
        <v>0.5</v>
      </c>
      <c r="G17" s="67">
        <f>G14/F2</f>
        <v>5.4830733333333402E-2</v>
      </c>
      <c r="H17" s="67">
        <f>H14/F2</f>
        <v>7.0000000000000007E-2</v>
      </c>
    </row>
    <row r="18" spans="1:11">
      <c r="A18" s="16"/>
      <c r="B18" s="59"/>
      <c r="C18" s="47"/>
      <c r="D18" s="16"/>
      <c r="E18" s="47"/>
    </row>
    <row r="19" spans="1:11">
      <c r="A19" s="16"/>
      <c r="B19" s="59"/>
      <c r="C19" s="47"/>
      <c r="D19" s="16"/>
      <c r="E19" s="47"/>
    </row>
    <row r="20" spans="1:11">
      <c r="A20" s="16" t="s">
        <v>154</v>
      </c>
      <c r="B20" s="59">
        <f>SUM(B13:B16)</f>
        <v>17485631433.333332</v>
      </c>
      <c r="C20" s="47" t="s">
        <v>158</v>
      </c>
      <c r="D20" s="16"/>
      <c r="E20" s="47" t="s">
        <v>159</v>
      </c>
    </row>
    <row r="21" spans="1:11">
      <c r="A21" s="16" t="s">
        <v>157</v>
      </c>
      <c r="B21" s="62">
        <f>B20/F2</f>
        <v>0.94516926666666656</v>
      </c>
      <c r="C21" s="62">
        <f>B21</f>
        <v>0.94516926666666656</v>
      </c>
      <c r="D21" s="16"/>
      <c r="E21" s="62">
        <f>B23</f>
        <v>5.4830733333333402E-2</v>
      </c>
    </row>
    <row r="22" spans="1:11">
      <c r="A22" s="16" t="s">
        <v>155</v>
      </c>
      <c r="B22" s="59">
        <f>(F2)-(B20)</f>
        <v>1014368566.6666679</v>
      </c>
      <c r="C22" s="47"/>
      <c r="D22" s="16"/>
      <c r="E22" s="47"/>
    </row>
    <row r="23" spans="1:11">
      <c r="A23" s="16" t="s">
        <v>156</v>
      </c>
      <c r="B23" s="62">
        <f>B22/F2</f>
        <v>5.4830733333333402E-2</v>
      </c>
      <c r="C23" s="47"/>
      <c r="D23" s="16"/>
      <c r="E23" s="47"/>
    </row>
    <row r="24" spans="1:11">
      <c r="A24" s="16"/>
      <c r="B24" s="59"/>
      <c r="C24" s="47"/>
      <c r="D24" s="16"/>
      <c r="E24" s="47"/>
    </row>
    <row r="26" spans="1:11">
      <c r="A26" s="16" t="s">
        <v>87</v>
      </c>
      <c r="B26" s="60">
        <f>(F2/375)</f>
        <v>49333333.333333336</v>
      </c>
    </row>
    <row r="27" spans="1:11">
      <c r="A27" s="16" t="s">
        <v>88</v>
      </c>
      <c r="B27" s="60">
        <f>B26*0.75</f>
        <v>37000000</v>
      </c>
    </row>
    <row r="28" spans="1:11">
      <c r="A28" s="16" t="s">
        <v>89</v>
      </c>
      <c r="B28" s="60">
        <f>B26-B27</f>
        <v>12333333.333333336</v>
      </c>
    </row>
    <row r="30" spans="1:11">
      <c r="A30" s="16" t="s">
        <v>390</v>
      </c>
      <c r="B30" s="60">
        <f>(Factories!E107+Shipyards!D27+Warehouses!C24)*5</f>
        <v>720500</v>
      </c>
    </row>
    <row r="31" spans="1:11">
      <c r="A31" s="16" t="s">
        <v>402</v>
      </c>
      <c r="B31" s="60">
        <f>B13*5</f>
        <v>1403157166.6666665</v>
      </c>
      <c r="C31" s="57"/>
      <c r="E31" s="57"/>
      <c r="G31" s="57"/>
      <c r="H31" s="57"/>
      <c r="I31" s="57"/>
      <c r="J31" s="57"/>
      <c r="K31" s="57"/>
    </row>
    <row r="32" spans="1:11">
      <c r="A32" s="16" t="s">
        <v>389</v>
      </c>
      <c r="B32" s="60">
        <f>E14*5</f>
        <v>33300000000</v>
      </c>
    </row>
    <row r="33" spans="1:11">
      <c r="A33" s="16" t="s">
        <v>391</v>
      </c>
      <c r="B33" s="60">
        <f>F2*5</f>
        <v>92500000000</v>
      </c>
    </row>
    <row r="34" spans="1:11">
      <c r="A34" s="16" t="s">
        <v>388</v>
      </c>
      <c r="B34" s="60">
        <f>SUM(B30:B33)</f>
        <v>127203877666.66666</v>
      </c>
    </row>
    <row r="35" spans="1:11">
      <c r="A35" s="16" t="s">
        <v>403</v>
      </c>
      <c r="B35" s="60">
        <f>B34-(B31+B30)</f>
        <v>125799999999.99998</v>
      </c>
      <c r="C35" s="57"/>
      <c r="E35" s="57"/>
      <c r="G35" s="57"/>
      <c r="H35" s="57"/>
      <c r="I35" s="57"/>
      <c r="J35" s="57"/>
      <c r="K35" s="57"/>
    </row>
    <row r="37" spans="1:11">
      <c r="A37" s="16" t="s">
        <v>392</v>
      </c>
      <c r="B37" s="60">
        <f>Utilities!H51</f>
        <v>378000000000</v>
      </c>
    </row>
    <row r="38" spans="1:11">
      <c r="A38" s="16" t="s">
        <v>393</v>
      </c>
      <c r="B38" s="60">
        <f>B34-B37</f>
        <v>-250796122333.33334</v>
      </c>
    </row>
    <row r="40" spans="1:11">
      <c r="F40" s="51">
        <f>F2/2</f>
        <v>9250000000</v>
      </c>
    </row>
  </sheetData>
  <phoneticPr fontId="15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J20"/>
  <sheetViews>
    <sheetView workbookViewId="0">
      <selection activeCell="H8" sqref="H8"/>
    </sheetView>
  </sheetViews>
  <sheetFormatPr baseColWidth="10" defaultColWidth="8.83203125" defaultRowHeight="12"/>
  <cols>
    <col min="1" max="1" width="16.83203125" bestFit="1" customWidth="1"/>
    <col min="2" max="2" width="12.5" bestFit="1" customWidth="1"/>
    <col min="3" max="3" width="21.83203125" bestFit="1" customWidth="1"/>
    <col min="4" max="4" width="9.5" bestFit="1" customWidth="1"/>
    <col min="5" max="5" width="17.5" bestFit="1" customWidth="1"/>
    <col min="6" max="6" width="7.5" style="14" bestFit="1" customWidth="1"/>
    <col min="7" max="7" width="10.83203125" style="29" bestFit="1" customWidth="1"/>
    <col min="8" max="8" width="10.33203125" style="27" bestFit="1" customWidth="1"/>
    <col min="9" max="9" width="13.5" style="14" bestFit="1" customWidth="1"/>
    <col min="10" max="10" width="18.5" style="14" bestFit="1" customWidth="1"/>
  </cols>
  <sheetData>
    <row r="2" spans="1:10" s="21" customFormat="1" ht="15">
      <c r="A2" s="21" t="s">
        <v>60</v>
      </c>
      <c r="B2" s="21" t="s">
        <v>61</v>
      </c>
      <c r="C2" s="21" t="s">
        <v>62</v>
      </c>
      <c r="D2" s="21" t="s">
        <v>63</v>
      </c>
      <c r="E2" s="21" t="s">
        <v>420</v>
      </c>
      <c r="F2" s="20" t="s">
        <v>64</v>
      </c>
      <c r="G2" s="30" t="s">
        <v>69</v>
      </c>
      <c r="H2" s="28" t="s">
        <v>70</v>
      </c>
      <c r="I2" s="20" t="s">
        <v>210</v>
      </c>
      <c r="J2" s="20" t="s">
        <v>211</v>
      </c>
    </row>
    <row r="3" spans="1:10">
      <c r="A3" t="s">
        <v>431</v>
      </c>
      <c r="B3" t="s">
        <v>65</v>
      </c>
      <c r="C3" s="26" t="s">
        <v>66</v>
      </c>
      <c r="D3" t="s">
        <v>67</v>
      </c>
      <c r="E3" t="s">
        <v>255</v>
      </c>
      <c r="F3" s="14">
        <v>45000</v>
      </c>
      <c r="G3" s="11">
        <v>38542</v>
      </c>
      <c r="H3" s="27">
        <f>SSCEmployees!I3</f>
        <v>35</v>
      </c>
      <c r="I3" s="14">
        <f>(F3)*(H3)</f>
        <v>1575000</v>
      </c>
      <c r="J3" s="14">
        <f>SUM(I3:I50)</f>
        <v>2975000</v>
      </c>
    </row>
    <row r="4" spans="1:10">
      <c r="A4" t="s">
        <v>212</v>
      </c>
      <c r="B4" t="s">
        <v>213</v>
      </c>
      <c r="C4" s="26" t="s">
        <v>214</v>
      </c>
      <c r="D4" t="s">
        <v>67</v>
      </c>
      <c r="E4" t="s">
        <v>72</v>
      </c>
      <c r="F4" s="14">
        <v>10000</v>
      </c>
      <c r="G4" s="11">
        <v>38542</v>
      </c>
      <c r="H4" s="27">
        <f>SSCEmployees!I3</f>
        <v>35</v>
      </c>
      <c r="I4" s="14">
        <f t="shared" ref="I4:I20" si="0">(F4)*(H4)</f>
        <v>350000</v>
      </c>
    </row>
    <row r="5" spans="1:10">
      <c r="A5" t="s">
        <v>218</v>
      </c>
      <c r="B5" t="s">
        <v>218</v>
      </c>
      <c r="C5" s="26" t="s">
        <v>214</v>
      </c>
      <c r="D5" t="s">
        <v>67</v>
      </c>
      <c r="E5" t="s">
        <v>71</v>
      </c>
      <c r="F5" s="14">
        <v>10000</v>
      </c>
      <c r="G5" s="11">
        <v>38542</v>
      </c>
      <c r="H5" s="27">
        <f>SSCEmployees!I3</f>
        <v>35</v>
      </c>
      <c r="I5" s="14">
        <f t="shared" si="0"/>
        <v>350000</v>
      </c>
    </row>
    <row r="6" spans="1:10">
      <c r="A6" t="s">
        <v>219</v>
      </c>
      <c r="B6" t="s">
        <v>219</v>
      </c>
      <c r="C6" s="26" t="s">
        <v>214</v>
      </c>
      <c r="D6" t="s">
        <v>67</v>
      </c>
      <c r="E6" t="s">
        <v>73</v>
      </c>
      <c r="F6" s="14">
        <v>10000</v>
      </c>
      <c r="G6" s="11">
        <v>38542</v>
      </c>
      <c r="H6" s="27">
        <f>SSCEmployees!I3</f>
        <v>35</v>
      </c>
      <c r="I6" s="14">
        <f t="shared" si="0"/>
        <v>350000</v>
      </c>
    </row>
    <row r="7" spans="1:10">
      <c r="A7" t="s">
        <v>220</v>
      </c>
      <c r="B7" t="s">
        <v>221</v>
      </c>
      <c r="C7" s="26" t="s">
        <v>214</v>
      </c>
      <c r="D7" t="s">
        <v>222</v>
      </c>
      <c r="E7" t="s">
        <v>71</v>
      </c>
      <c r="F7" s="14">
        <v>10000</v>
      </c>
      <c r="G7" s="11">
        <v>38542</v>
      </c>
      <c r="H7" s="27">
        <f>SSCEmployees!I3</f>
        <v>35</v>
      </c>
      <c r="I7" s="14">
        <f t="shared" si="0"/>
        <v>350000</v>
      </c>
    </row>
    <row r="8" spans="1:10">
      <c r="I8" s="14">
        <f t="shared" si="0"/>
        <v>0</v>
      </c>
    </row>
    <row r="9" spans="1:10">
      <c r="I9" s="14">
        <f t="shared" si="0"/>
        <v>0</v>
      </c>
    </row>
    <row r="10" spans="1:10">
      <c r="I10" s="14">
        <f t="shared" si="0"/>
        <v>0</v>
      </c>
    </row>
    <row r="11" spans="1:10">
      <c r="I11" s="14">
        <f t="shared" si="0"/>
        <v>0</v>
      </c>
    </row>
    <row r="12" spans="1:10">
      <c r="I12" s="14">
        <f t="shared" si="0"/>
        <v>0</v>
      </c>
    </row>
    <row r="13" spans="1:10">
      <c r="I13" s="14">
        <f t="shared" si="0"/>
        <v>0</v>
      </c>
    </row>
    <row r="14" spans="1:10">
      <c r="I14" s="14">
        <f t="shared" si="0"/>
        <v>0</v>
      </c>
    </row>
    <row r="15" spans="1:10">
      <c r="I15" s="14">
        <f t="shared" si="0"/>
        <v>0</v>
      </c>
    </row>
    <row r="16" spans="1:10">
      <c r="I16" s="14">
        <f t="shared" si="0"/>
        <v>0</v>
      </c>
    </row>
    <row r="17" spans="9:9">
      <c r="I17" s="14">
        <f t="shared" si="0"/>
        <v>0</v>
      </c>
    </row>
    <row r="18" spans="9:9">
      <c r="I18" s="14">
        <f t="shared" si="0"/>
        <v>0</v>
      </c>
    </row>
    <row r="19" spans="9:9">
      <c r="I19" s="14">
        <f t="shared" si="0"/>
        <v>0</v>
      </c>
    </row>
    <row r="20" spans="9:9">
      <c r="I20" s="14">
        <f t="shared" si="0"/>
        <v>0</v>
      </c>
    </row>
  </sheetData>
  <sheetCalcPr fullCalcOnLoad="1"/>
  <phoneticPr fontId="1" type="noConversion"/>
  <hyperlinks>
    <hyperlink ref="C3" r:id="rId1"/>
    <hyperlink ref="C4" r:id="rId2"/>
    <hyperlink ref="C5" r:id="rId3"/>
    <hyperlink ref="C6" r:id="rId4"/>
    <hyperlink ref="C7" r:id="rId5"/>
  </hyperlink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D2"/>
  <sheetViews>
    <sheetView workbookViewId="0">
      <selection activeCell="C15" sqref="C14:C15"/>
    </sheetView>
  </sheetViews>
  <sheetFormatPr baseColWidth="10" defaultColWidth="8.83203125" defaultRowHeight="12"/>
  <cols>
    <col min="1" max="1" width="8.5" bestFit="1" customWidth="1"/>
    <col min="2" max="2" width="7.5" bestFit="1" customWidth="1"/>
    <col min="3" max="3" width="12.83203125" bestFit="1" customWidth="1"/>
    <col min="4" max="4" width="5.5" bestFit="1" customWidth="1"/>
  </cols>
  <sheetData>
    <row r="2" spans="1:4" s="31" customFormat="1" ht="17">
      <c r="A2" s="31" t="s">
        <v>324</v>
      </c>
      <c r="B2" s="31" t="s">
        <v>215</v>
      </c>
      <c r="C2" s="31" t="s">
        <v>216</v>
      </c>
      <c r="D2" s="31" t="s">
        <v>217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00"/>
  <sheetViews>
    <sheetView topLeftCell="G4" workbookViewId="0">
      <selection activeCell="M51" sqref="M51"/>
    </sheetView>
  </sheetViews>
  <sheetFormatPr baseColWidth="10" defaultColWidth="8.83203125" defaultRowHeight="12"/>
  <cols>
    <col min="2" max="2" width="12.1640625" bestFit="1" customWidth="1"/>
    <col min="3" max="3" width="9.5" bestFit="1" customWidth="1"/>
    <col min="4" max="4" width="11.5" bestFit="1" customWidth="1"/>
    <col min="5" max="5" width="11" bestFit="1" customWidth="1"/>
    <col min="6" max="6" width="35.83203125" bestFit="1" customWidth="1"/>
    <col min="7" max="7" width="40.5" bestFit="1" customWidth="1"/>
    <col min="8" max="8" width="7.5" style="16" bestFit="1" customWidth="1"/>
    <col min="9" max="9" width="14.5" bestFit="1" customWidth="1"/>
    <col min="10" max="10" width="12.5" style="14" bestFit="1" customWidth="1"/>
    <col min="11" max="11" width="11.1640625" style="14" bestFit="1" customWidth="1"/>
    <col min="12" max="13" width="10.1640625" style="14" bestFit="1" customWidth="1"/>
    <col min="14" max="14" width="11.5" style="13" bestFit="1" customWidth="1"/>
    <col min="15" max="15" width="5.33203125" bestFit="1" customWidth="1"/>
    <col min="16" max="16" width="11.1640625" bestFit="1" customWidth="1"/>
  </cols>
  <sheetData>
    <row r="1" spans="1:15"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3" spans="1:15" s="10" customFormat="1">
      <c r="A3" s="10" t="s">
        <v>417</v>
      </c>
      <c r="B3" s="10" t="s">
        <v>418</v>
      </c>
      <c r="C3" s="10" t="s">
        <v>428</v>
      </c>
      <c r="D3" s="10" t="s">
        <v>419</v>
      </c>
      <c r="E3" s="10" t="s">
        <v>420</v>
      </c>
      <c r="F3" s="10" t="s">
        <v>421</v>
      </c>
      <c r="G3" s="10" t="s">
        <v>429</v>
      </c>
      <c r="H3" s="10" t="s">
        <v>130</v>
      </c>
      <c r="I3" s="10" t="s">
        <v>422</v>
      </c>
      <c r="J3" s="15" t="s">
        <v>423</v>
      </c>
      <c r="K3" s="15" t="s">
        <v>424</v>
      </c>
      <c r="L3" s="15" t="s">
        <v>74</v>
      </c>
      <c r="M3" s="15" t="s">
        <v>425</v>
      </c>
      <c r="N3" s="15" t="s">
        <v>426</v>
      </c>
      <c r="O3" s="10" t="s">
        <v>427</v>
      </c>
    </row>
    <row r="4" spans="1:15">
      <c r="A4" s="11">
        <v>38544</v>
      </c>
      <c r="B4" t="s">
        <v>431</v>
      </c>
      <c r="C4" t="s">
        <v>254</v>
      </c>
      <c r="D4" t="s">
        <v>254</v>
      </c>
      <c r="E4" t="s">
        <v>255</v>
      </c>
      <c r="F4" t="s">
        <v>256</v>
      </c>
      <c r="G4" t="s">
        <v>131</v>
      </c>
      <c r="H4" s="16" t="s">
        <v>323</v>
      </c>
      <c r="I4">
        <v>2</v>
      </c>
      <c r="J4" s="14">
        <v>20000000</v>
      </c>
      <c r="K4" s="14">
        <f>J4*I4</f>
        <v>40000000</v>
      </c>
      <c r="L4" s="14">
        <f>(K4*0.2)</f>
        <v>8000000</v>
      </c>
      <c r="M4" s="14">
        <f>(K4)*0.1</f>
        <v>4000000</v>
      </c>
      <c r="N4" s="13">
        <f>(K4+L4-M4)</f>
        <v>44000000</v>
      </c>
    </row>
    <row r="5" spans="1:15">
      <c r="F5" t="s">
        <v>434</v>
      </c>
      <c r="G5" t="s">
        <v>132</v>
      </c>
      <c r="H5" s="16" t="s">
        <v>323</v>
      </c>
      <c r="I5">
        <v>24</v>
      </c>
      <c r="J5" s="14">
        <v>84000</v>
      </c>
      <c r="K5" s="14">
        <f t="shared" ref="K5:K48" si="0">J5*I5</f>
        <v>2016000</v>
      </c>
      <c r="L5" s="14">
        <f>(K5*0.2)</f>
        <v>403200</v>
      </c>
      <c r="M5" s="14">
        <f t="shared" ref="M5:M48" si="1">(K5)*0.1</f>
        <v>201600</v>
      </c>
      <c r="N5" s="13">
        <f>(K5+L5-M5)</f>
        <v>2217600</v>
      </c>
    </row>
    <row r="6" spans="1:15">
      <c r="F6" t="s">
        <v>435</v>
      </c>
      <c r="G6" t="s">
        <v>133</v>
      </c>
      <c r="H6" s="16" t="s">
        <v>323</v>
      </c>
      <c r="I6">
        <v>2</v>
      </c>
      <c r="J6" s="14">
        <v>275000</v>
      </c>
      <c r="K6" s="14">
        <f t="shared" si="0"/>
        <v>550000</v>
      </c>
      <c r="L6" s="14">
        <f>(K6*0.2)</f>
        <v>110000</v>
      </c>
      <c r="M6" s="14">
        <f t="shared" si="1"/>
        <v>55000</v>
      </c>
      <c r="N6" s="13">
        <f>(K6+L6-M6)</f>
        <v>605000</v>
      </c>
    </row>
    <row r="7" spans="1:15">
      <c r="F7" t="s">
        <v>261</v>
      </c>
      <c r="G7" t="s">
        <v>134</v>
      </c>
      <c r="H7" s="16" t="s">
        <v>323</v>
      </c>
      <c r="I7">
        <v>6</v>
      </c>
      <c r="J7" s="14">
        <v>30000</v>
      </c>
      <c r="K7" s="14">
        <f t="shared" si="0"/>
        <v>180000</v>
      </c>
      <c r="L7" s="14">
        <f>(K7*0.2)</f>
        <v>36000</v>
      </c>
      <c r="M7" s="14">
        <f t="shared" si="1"/>
        <v>18000</v>
      </c>
      <c r="N7" s="13">
        <f>(K7+L7-M7)</f>
        <v>198000</v>
      </c>
    </row>
    <row r="8" spans="1:15">
      <c r="F8" t="s">
        <v>357</v>
      </c>
      <c r="G8" t="s">
        <v>135</v>
      </c>
      <c r="H8" s="16" t="s">
        <v>323</v>
      </c>
      <c r="I8">
        <v>1</v>
      </c>
      <c r="J8" s="14">
        <v>250000</v>
      </c>
      <c r="K8" s="14">
        <f t="shared" si="0"/>
        <v>250000</v>
      </c>
      <c r="L8" s="14">
        <f>(K8*0.2)</f>
        <v>50000</v>
      </c>
      <c r="M8" s="14">
        <f t="shared" si="1"/>
        <v>25000</v>
      </c>
      <c r="N8" s="13">
        <f>(K8+L8-M8)</f>
        <v>275000</v>
      </c>
    </row>
    <row r="9" spans="1:15">
      <c r="F9" t="s">
        <v>262</v>
      </c>
      <c r="G9" t="s">
        <v>136</v>
      </c>
      <c r="H9" s="16" t="s">
        <v>323</v>
      </c>
      <c r="I9">
        <v>6</v>
      </c>
      <c r="J9" s="14">
        <v>12800</v>
      </c>
      <c r="K9" s="14">
        <f t="shared" si="0"/>
        <v>76800</v>
      </c>
      <c r="M9" s="14">
        <f t="shared" si="1"/>
        <v>7680</v>
      </c>
      <c r="N9" s="13">
        <f t="shared" ref="N9:N48" si="2">(K9-M9)</f>
        <v>69120</v>
      </c>
    </row>
    <row r="10" spans="1:15">
      <c r="F10" t="s">
        <v>111</v>
      </c>
      <c r="G10" t="s">
        <v>137</v>
      </c>
      <c r="H10" s="16" t="s">
        <v>323</v>
      </c>
      <c r="I10">
        <v>6</v>
      </c>
      <c r="J10" s="14">
        <v>12000</v>
      </c>
      <c r="K10" s="14">
        <f t="shared" si="0"/>
        <v>72000</v>
      </c>
      <c r="M10" s="14">
        <f t="shared" si="1"/>
        <v>7200</v>
      </c>
      <c r="N10" s="13">
        <f t="shared" si="2"/>
        <v>64800</v>
      </c>
    </row>
    <row r="11" spans="1:15">
      <c r="F11" t="s">
        <v>112</v>
      </c>
      <c r="G11" t="s">
        <v>295</v>
      </c>
      <c r="H11" s="16" t="s">
        <v>323</v>
      </c>
      <c r="I11">
        <v>50</v>
      </c>
      <c r="J11" s="14">
        <v>3000</v>
      </c>
      <c r="K11" s="14">
        <f t="shared" si="0"/>
        <v>150000</v>
      </c>
      <c r="M11" s="14">
        <f t="shared" si="1"/>
        <v>15000</v>
      </c>
      <c r="N11" s="13">
        <f t="shared" si="2"/>
        <v>135000</v>
      </c>
    </row>
    <row r="12" spans="1:15">
      <c r="F12" t="s">
        <v>113</v>
      </c>
      <c r="G12" t="s">
        <v>296</v>
      </c>
      <c r="H12" s="16" t="s">
        <v>323</v>
      </c>
      <c r="I12">
        <v>50</v>
      </c>
      <c r="J12" s="14">
        <v>15000</v>
      </c>
      <c r="K12" s="14">
        <f t="shared" si="0"/>
        <v>750000</v>
      </c>
      <c r="M12" s="14">
        <f t="shared" si="1"/>
        <v>75000</v>
      </c>
      <c r="N12" s="13">
        <f t="shared" si="2"/>
        <v>675000</v>
      </c>
    </row>
    <row r="13" spans="1:15">
      <c r="F13" t="s">
        <v>114</v>
      </c>
      <c r="G13" t="s">
        <v>297</v>
      </c>
      <c r="H13" s="16" t="s">
        <v>323</v>
      </c>
      <c r="I13">
        <v>100</v>
      </c>
      <c r="J13" s="14">
        <v>200</v>
      </c>
      <c r="K13" s="14">
        <f t="shared" si="0"/>
        <v>20000</v>
      </c>
      <c r="M13" s="14">
        <f t="shared" si="1"/>
        <v>2000</v>
      </c>
      <c r="N13" s="13">
        <f t="shared" si="2"/>
        <v>18000</v>
      </c>
    </row>
    <row r="14" spans="1:15">
      <c r="F14" t="s">
        <v>115</v>
      </c>
      <c r="G14" t="s">
        <v>298</v>
      </c>
      <c r="H14" s="16" t="s">
        <v>323</v>
      </c>
      <c r="I14">
        <v>100</v>
      </c>
      <c r="J14" s="14">
        <v>1000</v>
      </c>
      <c r="K14" s="14">
        <f t="shared" si="0"/>
        <v>100000</v>
      </c>
      <c r="M14" s="14">
        <f t="shared" si="1"/>
        <v>10000</v>
      </c>
      <c r="N14" s="13">
        <f t="shared" si="2"/>
        <v>90000</v>
      </c>
    </row>
    <row r="15" spans="1:15">
      <c r="F15" t="s">
        <v>414</v>
      </c>
      <c r="G15" t="s">
        <v>83</v>
      </c>
      <c r="H15" s="16" t="s">
        <v>323</v>
      </c>
      <c r="I15">
        <v>3</v>
      </c>
      <c r="J15" s="14">
        <v>4000000</v>
      </c>
      <c r="K15" s="14">
        <f t="shared" si="0"/>
        <v>12000000</v>
      </c>
      <c r="M15" s="14">
        <f t="shared" si="1"/>
        <v>1200000</v>
      </c>
      <c r="N15" s="13">
        <f t="shared" si="2"/>
        <v>10800000</v>
      </c>
    </row>
    <row r="16" spans="1:15">
      <c r="F16" t="s">
        <v>116</v>
      </c>
      <c r="G16" t="s">
        <v>299</v>
      </c>
      <c r="H16" s="16" t="s">
        <v>323</v>
      </c>
      <c r="I16">
        <v>10</v>
      </c>
      <c r="J16" s="14">
        <v>250000</v>
      </c>
      <c r="K16" s="14">
        <f t="shared" si="0"/>
        <v>2500000</v>
      </c>
      <c r="M16" s="14">
        <f t="shared" si="1"/>
        <v>250000</v>
      </c>
      <c r="N16" s="13">
        <f t="shared" si="2"/>
        <v>2250000</v>
      </c>
    </row>
    <row r="17" spans="6:14">
      <c r="F17" t="s">
        <v>449</v>
      </c>
      <c r="G17" t="s">
        <v>300</v>
      </c>
      <c r="H17" s="16" t="s">
        <v>323</v>
      </c>
      <c r="I17">
        <v>50</v>
      </c>
      <c r="J17" s="14">
        <v>2</v>
      </c>
      <c r="K17" s="14">
        <f t="shared" si="0"/>
        <v>100</v>
      </c>
      <c r="M17" s="14">
        <f t="shared" si="1"/>
        <v>10</v>
      </c>
      <c r="N17" s="13">
        <f t="shared" si="2"/>
        <v>90</v>
      </c>
    </row>
    <row r="18" spans="6:14">
      <c r="F18" t="s">
        <v>117</v>
      </c>
      <c r="G18" t="s">
        <v>146</v>
      </c>
      <c r="H18" s="16" t="s">
        <v>323</v>
      </c>
      <c r="I18">
        <v>100</v>
      </c>
      <c r="J18" s="14">
        <v>250</v>
      </c>
      <c r="K18" s="14">
        <f t="shared" si="0"/>
        <v>25000</v>
      </c>
      <c r="M18" s="14">
        <f t="shared" si="1"/>
        <v>2500</v>
      </c>
      <c r="N18" s="13">
        <f t="shared" si="2"/>
        <v>22500</v>
      </c>
    </row>
    <row r="19" spans="6:14">
      <c r="F19" t="s">
        <v>118</v>
      </c>
      <c r="G19" t="s">
        <v>147</v>
      </c>
      <c r="H19" s="16" t="s">
        <v>323</v>
      </c>
      <c r="I19">
        <v>10</v>
      </c>
      <c r="J19" s="14">
        <v>15000</v>
      </c>
      <c r="K19" s="14">
        <f t="shared" si="0"/>
        <v>150000</v>
      </c>
      <c r="M19" s="14">
        <f t="shared" si="1"/>
        <v>15000</v>
      </c>
      <c r="N19" s="13">
        <f t="shared" si="2"/>
        <v>135000</v>
      </c>
    </row>
    <row r="20" spans="6:14">
      <c r="F20" t="s">
        <v>119</v>
      </c>
      <c r="G20" t="s">
        <v>148</v>
      </c>
      <c r="H20" s="16" t="s">
        <v>323</v>
      </c>
      <c r="I20">
        <v>2</v>
      </c>
      <c r="J20" s="14">
        <v>3500</v>
      </c>
      <c r="K20" s="14">
        <f t="shared" si="0"/>
        <v>7000</v>
      </c>
      <c r="M20" s="14">
        <f t="shared" si="1"/>
        <v>700</v>
      </c>
      <c r="N20" s="13">
        <f t="shared" si="2"/>
        <v>6300</v>
      </c>
    </row>
    <row r="21" spans="6:14">
      <c r="F21" t="s">
        <v>192</v>
      </c>
      <c r="G21" t="s">
        <v>149</v>
      </c>
      <c r="H21" s="16" t="s">
        <v>323</v>
      </c>
      <c r="I21">
        <v>1</v>
      </c>
      <c r="J21" s="14">
        <v>12500</v>
      </c>
      <c r="K21" s="14">
        <f t="shared" si="0"/>
        <v>12500</v>
      </c>
      <c r="M21" s="14">
        <f t="shared" si="1"/>
        <v>1250</v>
      </c>
      <c r="N21" s="13">
        <f t="shared" si="2"/>
        <v>11250</v>
      </c>
    </row>
    <row r="22" spans="6:14">
      <c r="F22" t="s">
        <v>186</v>
      </c>
      <c r="G22" t="s">
        <v>150</v>
      </c>
      <c r="H22" s="16" t="s">
        <v>323</v>
      </c>
      <c r="I22">
        <v>1</v>
      </c>
      <c r="J22" s="14">
        <v>56999</v>
      </c>
      <c r="K22" s="14">
        <f t="shared" si="0"/>
        <v>56999</v>
      </c>
      <c r="M22" s="14">
        <f t="shared" si="1"/>
        <v>5699.9000000000005</v>
      </c>
      <c r="N22" s="13">
        <f t="shared" si="2"/>
        <v>51299.1</v>
      </c>
    </row>
    <row r="23" spans="6:14">
      <c r="F23" t="s">
        <v>195</v>
      </c>
      <c r="G23" t="s">
        <v>151</v>
      </c>
      <c r="H23" s="16" t="s">
        <v>323</v>
      </c>
      <c r="I23">
        <v>100</v>
      </c>
      <c r="J23" s="14">
        <v>1000</v>
      </c>
      <c r="K23" s="14">
        <f t="shared" si="0"/>
        <v>100000</v>
      </c>
      <c r="M23" s="14">
        <f t="shared" si="1"/>
        <v>10000</v>
      </c>
      <c r="N23" s="13">
        <f t="shared" si="2"/>
        <v>90000</v>
      </c>
    </row>
    <row r="24" spans="6:14">
      <c r="F24" t="s">
        <v>120</v>
      </c>
      <c r="G24" t="s">
        <v>152</v>
      </c>
      <c r="H24" s="16" t="s">
        <v>323</v>
      </c>
      <c r="I24">
        <v>50</v>
      </c>
      <c r="J24" s="14">
        <v>700</v>
      </c>
      <c r="K24" s="14">
        <f t="shared" si="0"/>
        <v>35000</v>
      </c>
      <c r="M24" s="14">
        <f t="shared" si="1"/>
        <v>3500</v>
      </c>
      <c r="N24" s="13">
        <f t="shared" si="2"/>
        <v>31500</v>
      </c>
    </row>
    <row r="25" spans="6:14">
      <c r="F25" t="s">
        <v>121</v>
      </c>
      <c r="G25" t="s">
        <v>314</v>
      </c>
      <c r="H25" s="16" t="s">
        <v>323</v>
      </c>
      <c r="I25">
        <v>100</v>
      </c>
      <c r="J25" s="14">
        <v>825</v>
      </c>
      <c r="K25" s="14">
        <f t="shared" si="0"/>
        <v>82500</v>
      </c>
      <c r="M25" s="14">
        <f t="shared" si="1"/>
        <v>8250</v>
      </c>
      <c r="N25" s="13">
        <f t="shared" si="2"/>
        <v>74250</v>
      </c>
    </row>
    <row r="26" spans="6:14">
      <c r="F26" t="s">
        <v>122</v>
      </c>
      <c r="G26" t="s">
        <v>315</v>
      </c>
      <c r="H26" s="16" t="s">
        <v>323</v>
      </c>
      <c r="I26">
        <v>100</v>
      </c>
      <c r="J26" s="14">
        <v>150</v>
      </c>
      <c r="K26" s="14">
        <f t="shared" si="0"/>
        <v>15000</v>
      </c>
      <c r="M26" s="14">
        <f t="shared" si="1"/>
        <v>1500</v>
      </c>
      <c r="N26" s="13">
        <f t="shared" si="2"/>
        <v>13500</v>
      </c>
    </row>
    <row r="27" spans="6:14">
      <c r="F27" t="s">
        <v>123</v>
      </c>
      <c r="G27" t="s">
        <v>316</v>
      </c>
      <c r="H27" s="16" t="s">
        <v>323</v>
      </c>
      <c r="I27">
        <v>100</v>
      </c>
      <c r="J27" s="14">
        <v>900</v>
      </c>
      <c r="K27" s="14">
        <f t="shared" si="0"/>
        <v>90000</v>
      </c>
      <c r="M27" s="14">
        <f t="shared" si="1"/>
        <v>9000</v>
      </c>
      <c r="N27" s="13">
        <f t="shared" si="2"/>
        <v>81000</v>
      </c>
    </row>
    <row r="28" spans="6:14">
      <c r="F28" t="s">
        <v>124</v>
      </c>
      <c r="G28" t="s">
        <v>317</v>
      </c>
      <c r="H28" s="16" t="s">
        <v>323</v>
      </c>
      <c r="I28">
        <v>5</v>
      </c>
      <c r="J28" s="14">
        <v>1000</v>
      </c>
      <c r="K28" s="14">
        <f t="shared" si="0"/>
        <v>5000</v>
      </c>
      <c r="M28" s="14">
        <f t="shared" si="1"/>
        <v>500</v>
      </c>
      <c r="N28" s="13">
        <f t="shared" si="2"/>
        <v>4500</v>
      </c>
    </row>
    <row r="29" spans="6:14">
      <c r="F29" t="s">
        <v>125</v>
      </c>
      <c r="G29" t="s">
        <v>318</v>
      </c>
      <c r="H29" s="16" t="s">
        <v>323</v>
      </c>
      <c r="I29">
        <v>100</v>
      </c>
      <c r="J29" s="14">
        <v>250</v>
      </c>
      <c r="K29" s="14">
        <f t="shared" si="0"/>
        <v>25000</v>
      </c>
      <c r="M29" s="14">
        <f t="shared" si="1"/>
        <v>2500</v>
      </c>
      <c r="N29" s="13">
        <f t="shared" si="2"/>
        <v>22500</v>
      </c>
    </row>
    <row r="30" spans="6:14">
      <c r="F30" t="s">
        <v>126</v>
      </c>
      <c r="G30" t="s">
        <v>319</v>
      </c>
      <c r="H30" s="16" t="s">
        <v>323</v>
      </c>
      <c r="I30">
        <v>100</v>
      </c>
      <c r="J30" s="14">
        <v>250</v>
      </c>
      <c r="K30" s="14">
        <f t="shared" si="0"/>
        <v>25000</v>
      </c>
      <c r="M30" s="14">
        <f t="shared" si="1"/>
        <v>2500</v>
      </c>
      <c r="N30" s="13">
        <f t="shared" si="2"/>
        <v>22500</v>
      </c>
    </row>
    <row r="31" spans="6:14">
      <c r="F31" t="s">
        <v>127</v>
      </c>
      <c r="G31" t="s">
        <v>320</v>
      </c>
      <c r="H31" s="16" t="s">
        <v>323</v>
      </c>
      <c r="I31">
        <v>100</v>
      </c>
      <c r="J31" s="14">
        <v>250</v>
      </c>
      <c r="K31" s="14">
        <f t="shared" si="0"/>
        <v>25000</v>
      </c>
      <c r="M31" s="14">
        <f t="shared" si="1"/>
        <v>2500</v>
      </c>
      <c r="N31" s="13">
        <f t="shared" si="2"/>
        <v>22500</v>
      </c>
    </row>
    <row r="32" spans="6:14">
      <c r="F32" t="s">
        <v>128</v>
      </c>
      <c r="G32" t="s">
        <v>321</v>
      </c>
      <c r="H32" s="16" t="s">
        <v>323</v>
      </c>
      <c r="I32">
        <v>100</v>
      </c>
      <c r="J32" s="14">
        <v>250</v>
      </c>
      <c r="K32" s="14">
        <f t="shared" si="0"/>
        <v>25000</v>
      </c>
      <c r="M32" s="14">
        <f t="shared" si="1"/>
        <v>2500</v>
      </c>
      <c r="N32" s="13">
        <f t="shared" si="2"/>
        <v>22500</v>
      </c>
    </row>
    <row r="33" spans="1:16">
      <c r="F33" t="s">
        <v>129</v>
      </c>
      <c r="G33" t="s">
        <v>322</v>
      </c>
      <c r="H33" s="16" t="s">
        <v>323</v>
      </c>
      <c r="I33">
        <v>100</v>
      </c>
      <c r="J33" s="14">
        <v>500</v>
      </c>
      <c r="K33" s="14">
        <f t="shared" si="0"/>
        <v>50000</v>
      </c>
      <c r="M33" s="14">
        <f t="shared" si="1"/>
        <v>5000</v>
      </c>
      <c r="N33" s="13">
        <f t="shared" si="2"/>
        <v>45000</v>
      </c>
    </row>
    <row r="34" spans="1:16">
      <c r="N34" s="14">
        <f>SUM(L4:L33)</f>
        <v>8599200</v>
      </c>
      <c r="P34" s="14"/>
    </row>
    <row r="36" spans="1:16">
      <c r="A36" s="11">
        <v>38549</v>
      </c>
      <c r="B36" t="s">
        <v>234</v>
      </c>
      <c r="C36" t="s">
        <v>235</v>
      </c>
      <c r="D36" t="s">
        <v>236</v>
      </c>
      <c r="E36" t="s">
        <v>237</v>
      </c>
      <c r="F36" t="s">
        <v>125</v>
      </c>
      <c r="G36" t="s">
        <v>242</v>
      </c>
      <c r="H36" s="16" t="s">
        <v>243</v>
      </c>
      <c r="I36">
        <v>25</v>
      </c>
      <c r="J36" s="14">
        <v>250</v>
      </c>
      <c r="K36" s="14">
        <f t="shared" si="0"/>
        <v>6250</v>
      </c>
      <c r="L36" s="14">
        <v>0</v>
      </c>
      <c r="N36" s="13">
        <f t="shared" si="2"/>
        <v>6250</v>
      </c>
    </row>
    <row r="37" spans="1:16">
      <c r="F37" t="s">
        <v>114</v>
      </c>
      <c r="G37" t="s">
        <v>244</v>
      </c>
      <c r="H37" s="16" t="s">
        <v>243</v>
      </c>
      <c r="I37">
        <v>50</v>
      </c>
      <c r="J37" s="14">
        <v>200</v>
      </c>
      <c r="K37" s="14">
        <f t="shared" si="0"/>
        <v>10000</v>
      </c>
      <c r="L37" s="14">
        <v>0</v>
      </c>
      <c r="N37" s="13">
        <f t="shared" si="2"/>
        <v>10000</v>
      </c>
    </row>
    <row r="38" spans="1:16">
      <c r="F38" t="s">
        <v>238</v>
      </c>
      <c r="G38" t="s">
        <v>245</v>
      </c>
      <c r="H38" s="16" t="s">
        <v>243</v>
      </c>
      <c r="I38">
        <v>25</v>
      </c>
      <c r="J38" s="14">
        <v>200</v>
      </c>
      <c r="K38" s="14">
        <f t="shared" si="0"/>
        <v>5000</v>
      </c>
      <c r="L38" s="14">
        <v>0</v>
      </c>
      <c r="N38" s="13">
        <f t="shared" si="2"/>
        <v>5000</v>
      </c>
    </row>
    <row r="39" spans="1:16">
      <c r="F39" t="s">
        <v>377</v>
      </c>
      <c r="G39" t="s">
        <v>246</v>
      </c>
      <c r="H39" s="16" t="s">
        <v>243</v>
      </c>
      <c r="I39">
        <v>25</v>
      </c>
      <c r="J39" s="14">
        <v>1100</v>
      </c>
      <c r="K39" s="14">
        <f t="shared" si="0"/>
        <v>27500</v>
      </c>
      <c r="L39" s="14">
        <v>0</v>
      </c>
      <c r="N39" s="13">
        <f>(K39-M39)</f>
        <v>27500</v>
      </c>
    </row>
    <row r="40" spans="1:16">
      <c r="F40" t="s">
        <v>239</v>
      </c>
      <c r="G40" t="s">
        <v>247</v>
      </c>
      <c r="H40" s="16" t="s">
        <v>243</v>
      </c>
      <c r="I40">
        <v>25</v>
      </c>
      <c r="J40" s="14">
        <v>200</v>
      </c>
      <c r="K40" s="14">
        <f t="shared" si="0"/>
        <v>5000</v>
      </c>
      <c r="L40" s="14">
        <v>2350</v>
      </c>
      <c r="N40" s="13">
        <f>(K40-M40)+(L40)</f>
        <v>7350</v>
      </c>
    </row>
    <row r="41" spans="1:16">
      <c r="N41" s="13">
        <f>SUM(N36:N40)</f>
        <v>56100</v>
      </c>
      <c r="P41" s="14"/>
    </row>
    <row r="43" spans="1:16" ht="12" customHeight="1">
      <c r="A43" s="11">
        <v>38549</v>
      </c>
      <c r="B43" t="s">
        <v>234</v>
      </c>
      <c r="C43" t="s">
        <v>235</v>
      </c>
      <c r="D43" t="s">
        <v>240</v>
      </c>
      <c r="E43" t="s">
        <v>237</v>
      </c>
      <c r="F43" t="s">
        <v>241</v>
      </c>
      <c r="G43" t="s">
        <v>248</v>
      </c>
      <c r="H43" s="16" t="s">
        <v>243</v>
      </c>
      <c r="I43">
        <v>1</v>
      </c>
      <c r="J43" s="14">
        <v>230000</v>
      </c>
      <c r="K43" s="14">
        <f t="shared" si="0"/>
        <v>230000</v>
      </c>
      <c r="M43" s="14">
        <v>55000</v>
      </c>
      <c r="N43" s="13">
        <f>(K43-M43)</f>
        <v>175000</v>
      </c>
      <c r="O43" s="13"/>
      <c r="P43" s="13"/>
    </row>
    <row r="45" spans="1:16">
      <c r="G45" t="s">
        <v>84</v>
      </c>
      <c r="H45" s="16" t="s">
        <v>176</v>
      </c>
      <c r="I45">
        <v>50</v>
      </c>
      <c r="J45" s="14">
        <f>Inventory!C5</f>
        <v>4000000</v>
      </c>
      <c r="K45" s="14">
        <f t="shared" si="0"/>
        <v>200000000</v>
      </c>
      <c r="M45" s="14">
        <f t="shared" si="1"/>
        <v>20000000</v>
      </c>
      <c r="N45" s="13">
        <f t="shared" si="2"/>
        <v>180000000</v>
      </c>
    </row>
    <row r="47" spans="1:16">
      <c r="G47" t="s">
        <v>440</v>
      </c>
      <c r="H47" s="77" t="s">
        <v>441</v>
      </c>
      <c r="I47">
        <v>7</v>
      </c>
      <c r="J47" s="14">
        <f>Inventory!C56</f>
        <v>20000000</v>
      </c>
      <c r="K47" s="14">
        <f t="shared" si="0"/>
        <v>140000000</v>
      </c>
      <c r="M47" s="14">
        <f t="shared" si="1"/>
        <v>14000000</v>
      </c>
      <c r="N47" s="13">
        <f t="shared" si="2"/>
        <v>126000000</v>
      </c>
    </row>
    <row r="48" spans="1:16">
      <c r="G48" t="s">
        <v>442</v>
      </c>
      <c r="H48" s="77" t="s">
        <v>441</v>
      </c>
      <c r="I48">
        <v>25</v>
      </c>
      <c r="J48" s="14">
        <f>Inventory!C39</f>
        <v>22000000</v>
      </c>
      <c r="K48" s="14">
        <f t="shared" si="0"/>
        <v>550000000</v>
      </c>
      <c r="M48" s="14">
        <f t="shared" si="1"/>
        <v>55000000</v>
      </c>
      <c r="N48" s="13">
        <f t="shared" si="2"/>
        <v>495000000</v>
      </c>
    </row>
    <row r="49" spans="7:16">
      <c r="G49" t="s">
        <v>443</v>
      </c>
      <c r="H49" s="77" t="s">
        <v>441</v>
      </c>
      <c r="I49">
        <v>500</v>
      </c>
      <c r="J49" s="14">
        <f>Inventory!C55</f>
        <v>84000</v>
      </c>
      <c r="K49" s="14">
        <f>J49*I49</f>
        <v>42000000</v>
      </c>
      <c r="M49" s="14">
        <f>(K49)*0.1</f>
        <v>4200000</v>
      </c>
      <c r="N49" s="13">
        <f>(K49-M49)</f>
        <v>37800000</v>
      </c>
    </row>
    <row r="50" spans="7:16">
      <c r="N50" s="13">
        <f>SUM(N47:N49)</f>
        <v>658800000</v>
      </c>
    </row>
    <row r="51" spans="7:16">
      <c r="P51" s="14"/>
    </row>
    <row r="52" spans="7:16">
      <c r="G52" t="s">
        <v>378</v>
      </c>
      <c r="H52" s="77" t="s">
        <v>445</v>
      </c>
      <c r="I52">
        <v>25000</v>
      </c>
      <c r="J52" s="14">
        <f>Inventory!C12</f>
        <v>200</v>
      </c>
      <c r="K52" s="14">
        <f t="shared" ref="K52:K55" si="3">J52*I52</f>
        <v>5000000</v>
      </c>
      <c r="M52" s="14">
        <f t="shared" ref="M52:M55" si="4">(K52)*0.1</f>
        <v>500000</v>
      </c>
      <c r="N52" s="13">
        <f>(K52-M52)</f>
        <v>4500000</v>
      </c>
    </row>
    <row r="54" spans="7:16">
      <c r="K54" s="14">
        <f t="shared" si="3"/>
        <v>0</v>
      </c>
      <c r="M54" s="14">
        <f t="shared" si="4"/>
        <v>0</v>
      </c>
      <c r="N54" s="13">
        <f t="shared" ref="N54:N55" si="5">(K54-M54)</f>
        <v>0</v>
      </c>
    </row>
    <row r="55" spans="7:16">
      <c r="K55" s="14">
        <f t="shared" si="3"/>
        <v>0</v>
      </c>
      <c r="M55" s="14">
        <f t="shared" si="4"/>
        <v>0</v>
      </c>
      <c r="N55" s="13">
        <f t="shared" si="5"/>
        <v>0</v>
      </c>
    </row>
    <row r="100" spans="16:16">
      <c r="P100" s="14"/>
    </row>
  </sheetData>
  <sheetCalcPr fullCalcOnLoad="1"/>
  <mergeCells count="1">
    <mergeCell ref="C1:M1"/>
  </mergeCells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L107"/>
  <sheetViews>
    <sheetView topLeftCell="A59" workbookViewId="0">
      <selection activeCell="C108" sqref="C108"/>
    </sheetView>
  </sheetViews>
  <sheetFormatPr baseColWidth="10" defaultColWidth="9.1640625" defaultRowHeight="12"/>
  <cols>
    <col min="1" max="1" width="8.5" style="16" bestFit="1" customWidth="1"/>
    <col min="2" max="2" width="7.5" style="16" bestFit="1" customWidth="1"/>
    <col min="3" max="3" width="10.1640625" style="16" bestFit="1" customWidth="1"/>
    <col min="4" max="4" width="12" style="16" bestFit="1" customWidth="1"/>
    <col min="5" max="5" width="20.6640625" style="16" bestFit="1" customWidth="1"/>
    <col min="6" max="6" width="17.83203125" style="19" bestFit="1" customWidth="1"/>
    <col min="7" max="7" width="16.83203125" style="19" bestFit="1" customWidth="1"/>
    <col min="8" max="8" width="15.1640625" style="19" bestFit="1" customWidth="1"/>
    <col min="9" max="9" width="20" style="16" bestFit="1" customWidth="1"/>
    <col min="10" max="10" width="7.5" style="16" bestFit="1" customWidth="1"/>
    <col min="11" max="11" width="19.6640625" style="19" bestFit="1" customWidth="1"/>
    <col min="12" max="12" width="20" style="16" bestFit="1" customWidth="1"/>
    <col min="13" max="13" width="27.83203125" style="16" customWidth="1"/>
    <col min="14" max="16384" width="9.1640625" style="16"/>
  </cols>
  <sheetData>
    <row r="2" spans="1:12" s="17" customFormat="1" ht="17">
      <c r="A2" s="17" t="s">
        <v>324</v>
      </c>
      <c r="B2" s="17" t="s">
        <v>325</v>
      </c>
      <c r="C2" s="17" t="s">
        <v>326</v>
      </c>
      <c r="D2" s="17" t="s">
        <v>327</v>
      </c>
      <c r="E2" s="17" t="s">
        <v>328</v>
      </c>
      <c r="F2" s="18" t="s">
        <v>332</v>
      </c>
      <c r="G2" s="18" t="s">
        <v>329</v>
      </c>
      <c r="H2" s="18" t="s">
        <v>330</v>
      </c>
      <c r="I2" s="17" t="s">
        <v>179</v>
      </c>
      <c r="J2" s="17" t="s">
        <v>333</v>
      </c>
      <c r="K2" s="18" t="s">
        <v>105</v>
      </c>
      <c r="L2" s="17" t="s">
        <v>253</v>
      </c>
    </row>
    <row r="3" spans="1:12">
      <c r="A3" s="16">
        <v>1</v>
      </c>
      <c r="B3" s="16" t="s">
        <v>331</v>
      </c>
      <c r="C3" s="16">
        <v>5</v>
      </c>
      <c r="E3" s="53">
        <v>100</v>
      </c>
      <c r="F3" s="54">
        <f>(E3)*(84)</f>
        <v>8400</v>
      </c>
      <c r="G3" s="54">
        <v>21250000</v>
      </c>
      <c r="H3" s="54">
        <f>(F3)</f>
        <v>8400</v>
      </c>
      <c r="I3" s="54">
        <f>SUM(G3:G117)</f>
        <v>5355000000</v>
      </c>
      <c r="J3" s="16">
        <f>Inventory!I5</f>
        <v>1050</v>
      </c>
      <c r="K3" s="54">
        <f>(L3)+(I3)</f>
        <v>17508960000</v>
      </c>
      <c r="L3" s="54">
        <f>SUM(H1:H117)*(J3)</f>
        <v>12153960000</v>
      </c>
    </row>
    <row r="4" spans="1:12">
      <c r="A4" s="16">
        <f>(A3)+(1)</f>
        <v>2</v>
      </c>
      <c r="B4" s="16" t="s">
        <v>331</v>
      </c>
      <c r="C4" s="16">
        <v>5</v>
      </c>
      <c r="E4" s="53">
        <v>100</v>
      </c>
      <c r="F4" s="54">
        <f>(E4)*(84)</f>
        <v>8400</v>
      </c>
      <c r="G4" s="54">
        <v>21250000</v>
      </c>
      <c r="H4" s="54">
        <f t="shared" ref="H4:H67" si="0">(F4)</f>
        <v>8400</v>
      </c>
      <c r="I4" s="54"/>
    </row>
    <row r="5" spans="1:12">
      <c r="A5" s="16">
        <f>(A4)+(1)</f>
        <v>3</v>
      </c>
      <c r="B5" s="16" t="s">
        <v>331</v>
      </c>
      <c r="C5" s="16">
        <v>5</v>
      </c>
      <c r="E5" s="53">
        <v>100</v>
      </c>
      <c r="F5" s="54">
        <f t="shared" ref="F5:F68" si="1">(E5)*(84)</f>
        <v>8400</v>
      </c>
      <c r="G5" s="54">
        <v>21250000</v>
      </c>
      <c r="H5" s="54">
        <f t="shared" si="0"/>
        <v>8400</v>
      </c>
      <c r="I5" s="54"/>
    </row>
    <row r="6" spans="1:12">
      <c r="A6" s="16">
        <f t="shared" ref="A6:A71" si="2">(A5)+(1)</f>
        <v>4</v>
      </c>
      <c r="B6" s="16" t="s">
        <v>331</v>
      </c>
      <c r="C6" s="16">
        <v>5</v>
      </c>
      <c r="E6" s="53">
        <v>100</v>
      </c>
      <c r="F6" s="54">
        <f t="shared" si="1"/>
        <v>8400</v>
      </c>
      <c r="G6" s="54">
        <v>21250000</v>
      </c>
      <c r="H6" s="54">
        <f t="shared" si="0"/>
        <v>8400</v>
      </c>
      <c r="I6" s="54"/>
    </row>
    <row r="7" spans="1:12">
      <c r="A7" s="16">
        <f t="shared" si="2"/>
        <v>5</v>
      </c>
      <c r="B7" s="16" t="s">
        <v>331</v>
      </c>
      <c r="C7" s="16">
        <v>5</v>
      </c>
      <c r="E7" s="53">
        <v>100</v>
      </c>
      <c r="F7" s="54">
        <f t="shared" si="1"/>
        <v>8400</v>
      </c>
      <c r="G7" s="54">
        <v>21250000</v>
      </c>
      <c r="H7" s="54">
        <f t="shared" si="0"/>
        <v>8400</v>
      </c>
      <c r="I7" s="54"/>
    </row>
    <row r="8" spans="1:12">
      <c r="A8" s="16">
        <f t="shared" si="2"/>
        <v>6</v>
      </c>
      <c r="B8" s="16" t="s">
        <v>331</v>
      </c>
      <c r="C8" s="16">
        <v>5</v>
      </c>
      <c r="E8" s="53">
        <v>100</v>
      </c>
      <c r="F8" s="54">
        <f t="shared" si="1"/>
        <v>8400</v>
      </c>
      <c r="G8" s="54">
        <v>21250000</v>
      </c>
      <c r="H8" s="54">
        <f t="shared" si="0"/>
        <v>8400</v>
      </c>
      <c r="I8" s="54"/>
    </row>
    <row r="9" spans="1:12">
      <c r="A9" s="16">
        <f t="shared" si="2"/>
        <v>7</v>
      </c>
      <c r="B9" s="16" t="s">
        <v>331</v>
      </c>
      <c r="C9" s="16">
        <v>5</v>
      </c>
      <c r="E9" s="53">
        <v>100</v>
      </c>
      <c r="F9" s="54">
        <f t="shared" si="1"/>
        <v>8400</v>
      </c>
      <c r="G9" s="54">
        <v>21250000</v>
      </c>
      <c r="H9" s="54">
        <f t="shared" si="0"/>
        <v>8400</v>
      </c>
      <c r="I9" s="54"/>
    </row>
    <row r="10" spans="1:12">
      <c r="A10" s="16">
        <f t="shared" si="2"/>
        <v>8</v>
      </c>
      <c r="B10" s="16" t="s">
        <v>331</v>
      </c>
      <c r="C10" s="16">
        <v>5</v>
      </c>
      <c r="E10" s="53">
        <v>100</v>
      </c>
      <c r="F10" s="54">
        <f t="shared" si="1"/>
        <v>8400</v>
      </c>
      <c r="G10" s="54">
        <v>21250000</v>
      </c>
      <c r="H10" s="54">
        <f t="shared" si="0"/>
        <v>8400</v>
      </c>
      <c r="I10" s="54"/>
    </row>
    <row r="11" spans="1:12">
      <c r="A11" s="16">
        <f t="shared" si="2"/>
        <v>9</v>
      </c>
      <c r="B11" s="16" t="s">
        <v>331</v>
      </c>
      <c r="C11" s="16">
        <v>5</v>
      </c>
      <c r="E11" s="53">
        <v>100</v>
      </c>
      <c r="F11" s="54">
        <f t="shared" si="1"/>
        <v>8400</v>
      </c>
      <c r="G11" s="54">
        <v>21250000</v>
      </c>
      <c r="H11" s="54">
        <f t="shared" si="0"/>
        <v>8400</v>
      </c>
      <c r="I11" s="54"/>
    </row>
    <row r="12" spans="1:12">
      <c r="A12" s="16">
        <f t="shared" si="2"/>
        <v>10</v>
      </c>
      <c r="B12" s="16" t="s">
        <v>331</v>
      </c>
      <c r="C12" s="16">
        <v>5</v>
      </c>
      <c r="E12" s="53">
        <v>100</v>
      </c>
      <c r="F12" s="54">
        <f t="shared" si="1"/>
        <v>8400</v>
      </c>
      <c r="G12" s="54">
        <v>21250000</v>
      </c>
      <c r="H12" s="54">
        <f t="shared" si="0"/>
        <v>8400</v>
      </c>
      <c r="I12" s="54"/>
    </row>
    <row r="13" spans="1:12">
      <c r="A13" s="16">
        <f t="shared" si="2"/>
        <v>11</v>
      </c>
      <c r="B13" s="16" t="s">
        <v>331</v>
      </c>
      <c r="C13" s="16">
        <v>5</v>
      </c>
      <c r="E13" s="53">
        <v>100</v>
      </c>
      <c r="F13" s="54">
        <f t="shared" si="1"/>
        <v>8400</v>
      </c>
      <c r="G13" s="54">
        <v>21250000</v>
      </c>
      <c r="H13" s="54">
        <f t="shared" si="0"/>
        <v>8400</v>
      </c>
      <c r="I13" s="54"/>
    </row>
    <row r="14" spans="1:12">
      <c r="A14" s="16">
        <f t="shared" si="2"/>
        <v>12</v>
      </c>
      <c r="B14" s="16" t="s">
        <v>331</v>
      </c>
      <c r="C14" s="16">
        <v>5</v>
      </c>
      <c r="E14" s="53">
        <v>100</v>
      </c>
      <c r="F14" s="54">
        <f t="shared" si="1"/>
        <v>8400</v>
      </c>
      <c r="G14" s="54">
        <v>21250000</v>
      </c>
      <c r="H14" s="54">
        <f t="shared" si="0"/>
        <v>8400</v>
      </c>
      <c r="I14" s="54"/>
    </row>
    <row r="15" spans="1:12">
      <c r="A15" s="16">
        <f t="shared" si="2"/>
        <v>13</v>
      </c>
      <c r="B15" s="16" t="s">
        <v>331</v>
      </c>
      <c r="C15" s="16">
        <v>5</v>
      </c>
      <c r="E15" s="53">
        <v>100</v>
      </c>
      <c r="F15" s="54">
        <f t="shared" si="1"/>
        <v>8400</v>
      </c>
      <c r="G15" s="54">
        <v>21250000</v>
      </c>
      <c r="H15" s="54">
        <f t="shared" si="0"/>
        <v>8400</v>
      </c>
      <c r="I15" s="54"/>
    </row>
    <row r="16" spans="1:12">
      <c r="A16" s="16">
        <f t="shared" si="2"/>
        <v>14</v>
      </c>
      <c r="B16" s="16" t="s">
        <v>331</v>
      </c>
      <c r="C16" s="16">
        <v>5</v>
      </c>
      <c r="E16" s="53">
        <v>100</v>
      </c>
      <c r="F16" s="54">
        <f t="shared" si="1"/>
        <v>8400</v>
      </c>
      <c r="G16" s="54">
        <v>21250000</v>
      </c>
      <c r="H16" s="54">
        <f t="shared" si="0"/>
        <v>8400</v>
      </c>
      <c r="I16" s="54"/>
    </row>
    <row r="17" spans="1:9">
      <c r="A17" s="16">
        <f t="shared" si="2"/>
        <v>15</v>
      </c>
      <c r="B17" s="16" t="s">
        <v>331</v>
      </c>
      <c r="C17" s="16">
        <v>5</v>
      </c>
      <c r="E17" s="53">
        <v>100</v>
      </c>
      <c r="F17" s="54">
        <f t="shared" si="1"/>
        <v>8400</v>
      </c>
      <c r="G17" s="54">
        <v>21250000</v>
      </c>
      <c r="H17" s="54">
        <f t="shared" si="0"/>
        <v>8400</v>
      </c>
      <c r="I17" s="54"/>
    </row>
    <row r="18" spans="1:9">
      <c r="A18" s="16">
        <f t="shared" si="2"/>
        <v>16</v>
      </c>
      <c r="B18" s="16" t="s">
        <v>331</v>
      </c>
      <c r="C18" s="16">
        <v>5</v>
      </c>
      <c r="E18" s="53">
        <v>100</v>
      </c>
      <c r="F18" s="54">
        <f t="shared" si="1"/>
        <v>8400</v>
      </c>
      <c r="G18" s="54">
        <v>21250000</v>
      </c>
      <c r="H18" s="54">
        <f t="shared" si="0"/>
        <v>8400</v>
      </c>
      <c r="I18" s="54"/>
    </row>
    <row r="19" spans="1:9">
      <c r="A19" s="16">
        <f t="shared" si="2"/>
        <v>17</v>
      </c>
      <c r="B19" s="16" t="s">
        <v>331</v>
      </c>
      <c r="C19" s="16">
        <v>5</v>
      </c>
      <c r="E19" s="53">
        <v>100</v>
      </c>
      <c r="F19" s="54">
        <f t="shared" si="1"/>
        <v>8400</v>
      </c>
      <c r="G19" s="54">
        <v>21250000</v>
      </c>
      <c r="H19" s="54">
        <f t="shared" si="0"/>
        <v>8400</v>
      </c>
      <c r="I19" s="54"/>
    </row>
    <row r="20" spans="1:9">
      <c r="A20" s="16">
        <f t="shared" si="2"/>
        <v>18</v>
      </c>
      <c r="B20" s="16" t="s">
        <v>331</v>
      </c>
      <c r="C20" s="16">
        <v>5</v>
      </c>
      <c r="E20" s="53">
        <v>100</v>
      </c>
      <c r="F20" s="54">
        <f t="shared" si="1"/>
        <v>8400</v>
      </c>
      <c r="G20" s="54">
        <v>21250000</v>
      </c>
      <c r="H20" s="54">
        <f t="shared" si="0"/>
        <v>8400</v>
      </c>
      <c r="I20" s="54"/>
    </row>
    <row r="21" spans="1:9">
      <c r="A21" s="16">
        <f t="shared" si="2"/>
        <v>19</v>
      </c>
      <c r="B21" s="16" t="s">
        <v>331</v>
      </c>
      <c r="C21" s="16">
        <v>5</v>
      </c>
      <c r="E21" s="53">
        <v>100</v>
      </c>
      <c r="F21" s="54">
        <f t="shared" si="1"/>
        <v>8400</v>
      </c>
      <c r="G21" s="54">
        <v>21250000</v>
      </c>
      <c r="H21" s="54">
        <f t="shared" si="0"/>
        <v>8400</v>
      </c>
      <c r="I21" s="54"/>
    </row>
    <row r="22" spans="1:9">
      <c r="A22" s="16">
        <f t="shared" si="2"/>
        <v>20</v>
      </c>
      <c r="B22" s="16" t="s">
        <v>331</v>
      </c>
      <c r="C22" s="16">
        <v>5</v>
      </c>
      <c r="E22" s="53">
        <v>100</v>
      </c>
      <c r="F22" s="54">
        <f t="shared" si="1"/>
        <v>8400</v>
      </c>
      <c r="G22" s="54">
        <v>21250000</v>
      </c>
      <c r="H22" s="54">
        <f t="shared" si="0"/>
        <v>8400</v>
      </c>
      <c r="I22" s="54"/>
    </row>
    <row r="23" spans="1:9">
      <c r="A23" s="16">
        <f t="shared" si="2"/>
        <v>21</v>
      </c>
      <c r="B23" s="16" t="s">
        <v>331</v>
      </c>
      <c r="C23" s="16">
        <v>5</v>
      </c>
      <c r="E23" s="53">
        <v>100</v>
      </c>
      <c r="F23" s="54">
        <f t="shared" si="1"/>
        <v>8400</v>
      </c>
      <c r="G23" s="54">
        <v>21250000</v>
      </c>
      <c r="H23" s="54">
        <f t="shared" si="0"/>
        <v>8400</v>
      </c>
      <c r="I23" s="54"/>
    </row>
    <row r="24" spans="1:9">
      <c r="A24" s="16">
        <f t="shared" si="2"/>
        <v>22</v>
      </c>
      <c r="B24" s="16" t="s">
        <v>331</v>
      </c>
      <c r="C24" s="16">
        <v>5</v>
      </c>
      <c r="E24" s="53">
        <v>100</v>
      </c>
      <c r="F24" s="54">
        <f t="shared" si="1"/>
        <v>8400</v>
      </c>
      <c r="G24" s="54">
        <v>21250000</v>
      </c>
      <c r="H24" s="54">
        <f t="shared" si="0"/>
        <v>8400</v>
      </c>
      <c r="I24" s="54"/>
    </row>
    <row r="25" spans="1:9">
      <c r="A25" s="16">
        <f t="shared" si="2"/>
        <v>23</v>
      </c>
      <c r="B25" s="16" t="s">
        <v>331</v>
      </c>
      <c r="C25" s="16">
        <v>5</v>
      </c>
      <c r="E25" s="53">
        <v>100</v>
      </c>
      <c r="F25" s="54">
        <f t="shared" si="1"/>
        <v>8400</v>
      </c>
      <c r="G25" s="54">
        <v>21250000</v>
      </c>
      <c r="H25" s="54">
        <f t="shared" si="0"/>
        <v>8400</v>
      </c>
      <c r="I25" s="54"/>
    </row>
    <row r="26" spans="1:9">
      <c r="A26" s="16">
        <f t="shared" si="2"/>
        <v>24</v>
      </c>
      <c r="B26" s="16" t="s">
        <v>331</v>
      </c>
      <c r="C26" s="16">
        <v>5</v>
      </c>
      <c r="E26" s="53">
        <v>100</v>
      </c>
      <c r="F26" s="54">
        <f t="shared" si="1"/>
        <v>8400</v>
      </c>
      <c r="G26" s="54">
        <v>21250000</v>
      </c>
      <c r="H26" s="54">
        <f t="shared" si="0"/>
        <v>8400</v>
      </c>
      <c r="I26" s="54"/>
    </row>
    <row r="27" spans="1:9">
      <c r="A27" s="16">
        <f t="shared" si="2"/>
        <v>25</v>
      </c>
      <c r="B27" s="16" t="s">
        <v>331</v>
      </c>
      <c r="C27" s="16">
        <v>5</v>
      </c>
      <c r="E27" s="53">
        <v>100</v>
      </c>
      <c r="F27" s="54">
        <f t="shared" si="1"/>
        <v>8400</v>
      </c>
      <c r="G27" s="54">
        <v>21250000</v>
      </c>
      <c r="H27" s="54">
        <f t="shared" si="0"/>
        <v>8400</v>
      </c>
      <c r="I27" s="54"/>
    </row>
    <row r="28" spans="1:9">
      <c r="A28" s="16">
        <f t="shared" si="2"/>
        <v>26</v>
      </c>
      <c r="B28" s="16" t="s">
        <v>331</v>
      </c>
      <c r="C28" s="16">
        <v>5</v>
      </c>
      <c r="E28" s="53">
        <v>100</v>
      </c>
      <c r="F28" s="54">
        <f t="shared" si="1"/>
        <v>8400</v>
      </c>
      <c r="G28" s="54">
        <v>21250000</v>
      </c>
      <c r="H28" s="54">
        <f t="shared" si="0"/>
        <v>8400</v>
      </c>
      <c r="I28" s="54"/>
    </row>
    <row r="29" spans="1:9">
      <c r="A29" s="16">
        <f t="shared" si="2"/>
        <v>27</v>
      </c>
      <c r="B29" s="16" t="s">
        <v>331</v>
      </c>
      <c r="C29" s="16">
        <v>5</v>
      </c>
      <c r="E29" s="53">
        <v>100</v>
      </c>
      <c r="F29" s="54">
        <f t="shared" si="1"/>
        <v>8400</v>
      </c>
      <c r="G29" s="54">
        <v>21250000</v>
      </c>
      <c r="H29" s="54">
        <f t="shared" si="0"/>
        <v>8400</v>
      </c>
      <c r="I29" s="54"/>
    </row>
    <row r="30" spans="1:9">
      <c r="A30" s="16">
        <f t="shared" si="2"/>
        <v>28</v>
      </c>
      <c r="B30" s="16" t="s">
        <v>331</v>
      </c>
      <c r="C30" s="16">
        <v>5</v>
      </c>
      <c r="E30" s="53">
        <v>100</v>
      </c>
      <c r="F30" s="54">
        <f t="shared" si="1"/>
        <v>8400</v>
      </c>
      <c r="G30" s="54">
        <v>21250000</v>
      </c>
      <c r="H30" s="54">
        <f t="shared" si="0"/>
        <v>8400</v>
      </c>
      <c r="I30" s="54"/>
    </row>
    <row r="31" spans="1:9">
      <c r="A31" s="16">
        <f t="shared" si="2"/>
        <v>29</v>
      </c>
      <c r="B31" s="16" t="s">
        <v>331</v>
      </c>
      <c r="C31" s="16">
        <v>5</v>
      </c>
      <c r="E31" s="53">
        <v>100</v>
      </c>
      <c r="F31" s="54">
        <f t="shared" si="1"/>
        <v>8400</v>
      </c>
      <c r="G31" s="54">
        <v>21250000</v>
      </c>
      <c r="H31" s="54">
        <f t="shared" si="0"/>
        <v>8400</v>
      </c>
      <c r="I31" s="54"/>
    </row>
    <row r="32" spans="1:9">
      <c r="A32" s="16">
        <f t="shared" si="2"/>
        <v>30</v>
      </c>
      <c r="B32" s="16" t="s">
        <v>331</v>
      </c>
      <c r="C32" s="16">
        <v>5</v>
      </c>
      <c r="E32" s="53">
        <v>100</v>
      </c>
      <c r="F32" s="54">
        <f t="shared" si="1"/>
        <v>8400</v>
      </c>
      <c r="G32" s="54">
        <v>21250000</v>
      </c>
      <c r="H32" s="54">
        <f t="shared" si="0"/>
        <v>8400</v>
      </c>
      <c r="I32" s="54"/>
    </row>
    <row r="33" spans="1:9">
      <c r="A33" s="16">
        <f t="shared" si="2"/>
        <v>31</v>
      </c>
      <c r="B33" s="16" t="s">
        <v>331</v>
      </c>
      <c r="C33" s="16">
        <v>5</v>
      </c>
      <c r="E33" s="53">
        <v>100</v>
      </c>
      <c r="F33" s="54">
        <f t="shared" si="1"/>
        <v>8400</v>
      </c>
      <c r="G33" s="54">
        <v>21250000</v>
      </c>
      <c r="H33" s="54">
        <f t="shared" si="0"/>
        <v>8400</v>
      </c>
      <c r="I33" s="54"/>
    </row>
    <row r="34" spans="1:9">
      <c r="A34" s="16">
        <f t="shared" si="2"/>
        <v>32</v>
      </c>
      <c r="B34" s="16" t="s">
        <v>331</v>
      </c>
      <c r="C34" s="16">
        <v>5</v>
      </c>
      <c r="E34" s="53">
        <v>100</v>
      </c>
      <c r="F34" s="54">
        <f t="shared" si="1"/>
        <v>8400</v>
      </c>
      <c r="G34" s="54">
        <v>21250000</v>
      </c>
      <c r="H34" s="54">
        <f t="shared" si="0"/>
        <v>8400</v>
      </c>
      <c r="I34" s="54"/>
    </row>
    <row r="35" spans="1:9">
      <c r="A35" s="16">
        <f t="shared" si="2"/>
        <v>33</v>
      </c>
      <c r="B35" s="16" t="s">
        <v>331</v>
      </c>
      <c r="C35" s="16">
        <v>5</v>
      </c>
      <c r="E35" s="53">
        <v>100</v>
      </c>
      <c r="F35" s="54">
        <f t="shared" si="1"/>
        <v>8400</v>
      </c>
      <c r="G35" s="54">
        <v>21250000</v>
      </c>
      <c r="H35" s="54">
        <f t="shared" si="0"/>
        <v>8400</v>
      </c>
      <c r="I35" s="54"/>
    </row>
    <row r="36" spans="1:9">
      <c r="A36" s="16">
        <f t="shared" si="2"/>
        <v>34</v>
      </c>
      <c r="B36" s="16" t="s">
        <v>331</v>
      </c>
      <c r="C36" s="16">
        <v>5</v>
      </c>
      <c r="E36" s="53">
        <v>100</v>
      </c>
      <c r="F36" s="54">
        <f t="shared" si="1"/>
        <v>8400</v>
      </c>
      <c r="G36" s="54">
        <v>21250000</v>
      </c>
      <c r="H36" s="54">
        <f t="shared" si="0"/>
        <v>8400</v>
      </c>
      <c r="I36" s="54"/>
    </row>
    <row r="37" spans="1:9">
      <c r="A37" s="16">
        <f t="shared" si="2"/>
        <v>35</v>
      </c>
      <c r="B37" s="16" t="s">
        <v>331</v>
      </c>
      <c r="C37" s="16">
        <v>5</v>
      </c>
      <c r="E37" s="53">
        <v>100</v>
      </c>
      <c r="F37" s="54">
        <f t="shared" si="1"/>
        <v>8400</v>
      </c>
      <c r="G37" s="54">
        <v>21250000</v>
      </c>
      <c r="H37" s="54">
        <f t="shared" si="0"/>
        <v>8400</v>
      </c>
      <c r="I37" s="54"/>
    </row>
    <row r="38" spans="1:9">
      <c r="A38" s="16">
        <f t="shared" si="2"/>
        <v>36</v>
      </c>
      <c r="B38" s="16" t="s">
        <v>331</v>
      </c>
      <c r="C38" s="16">
        <v>5</v>
      </c>
      <c r="E38" s="53">
        <v>100</v>
      </c>
      <c r="F38" s="54">
        <f t="shared" si="1"/>
        <v>8400</v>
      </c>
      <c r="G38" s="54">
        <v>21250000</v>
      </c>
      <c r="H38" s="54">
        <f t="shared" si="0"/>
        <v>8400</v>
      </c>
      <c r="I38" s="54"/>
    </row>
    <row r="39" spans="1:9">
      <c r="A39" s="16">
        <f t="shared" si="2"/>
        <v>37</v>
      </c>
      <c r="B39" s="16" t="s">
        <v>331</v>
      </c>
      <c r="C39" s="16">
        <v>5</v>
      </c>
      <c r="E39" s="53">
        <v>100</v>
      </c>
      <c r="F39" s="54">
        <f t="shared" si="1"/>
        <v>8400</v>
      </c>
      <c r="G39" s="54">
        <v>21250000</v>
      </c>
      <c r="H39" s="54">
        <f t="shared" si="0"/>
        <v>8400</v>
      </c>
      <c r="I39" s="54"/>
    </row>
    <row r="40" spans="1:9">
      <c r="A40" s="16">
        <f t="shared" si="2"/>
        <v>38</v>
      </c>
      <c r="B40" s="16" t="s">
        <v>331</v>
      </c>
      <c r="C40" s="16">
        <v>5</v>
      </c>
      <c r="E40" s="53">
        <v>100</v>
      </c>
      <c r="F40" s="54">
        <f t="shared" si="1"/>
        <v>8400</v>
      </c>
      <c r="G40" s="54">
        <v>21250000</v>
      </c>
      <c r="H40" s="54">
        <f t="shared" si="0"/>
        <v>8400</v>
      </c>
      <c r="I40" s="54"/>
    </row>
    <row r="41" spans="1:9">
      <c r="A41" s="16">
        <f t="shared" si="2"/>
        <v>39</v>
      </c>
      <c r="B41" s="16" t="s">
        <v>331</v>
      </c>
      <c r="C41" s="16">
        <v>5</v>
      </c>
      <c r="E41" s="53">
        <v>100</v>
      </c>
      <c r="F41" s="54">
        <f t="shared" si="1"/>
        <v>8400</v>
      </c>
      <c r="G41" s="54">
        <v>21250000</v>
      </c>
      <c r="H41" s="54">
        <f t="shared" si="0"/>
        <v>8400</v>
      </c>
      <c r="I41" s="54"/>
    </row>
    <row r="42" spans="1:9">
      <c r="A42" s="16">
        <f t="shared" si="2"/>
        <v>40</v>
      </c>
      <c r="B42" s="16" t="s">
        <v>331</v>
      </c>
      <c r="C42" s="16">
        <v>5</v>
      </c>
      <c r="E42" s="53">
        <v>100</v>
      </c>
      <c r="F42" s="54">
        <f t="shared" si="1"/>
        <v>8400</v>
      </c>
      <c r="G42" s="54">
        <v>21250000</v>
      </c>
      <c r="H42" s="54">
        <f t="shared" si="0"/>
        <v>8400</v>
      </c>
      <c r="I42" s="54"/>
    </row>
    <row r="43" spans="1:9">
      <c r="A43" s="16">
        <f t="shared" si="2"/>
        <v>41</v>
      </c>
      <c r="B43" s="16" t="s">
        <v>331</v>
      </c>
      <c r="C43" s="16">
        <v>5</v>
      </c>
      <c r="E43" s="53">
        <v>100</v>
      </c>
      <c r="F43" s="54">
        <f t="shared" si="1"/>
        <v>8400</v>
      </c>
      <c r="G43" s="54">
        <v>21250000</v>
      </c>
      <c r="H43" s="54">
        <f t="shared" si="0"/>
        <v>8400</v>
      </c>
      <c r="I43" s="54"/>
    </row>
    <row r="44" spans="1:9">
      <c r="A44" s="16">
        <f t="shared" si="2"/>
        <v>42</v>
      </c>
      <c r="B44" s="16" t="s">
        <v>331</v>
      </c>
      <c r="C44" s="16">
        <v>5</v>
      </c>
      <c r="E44" s="53">
        <v>100</v>
      </c>
      <c r="F44" s="54">
        <f t="shared" si="1"/>
        <v>8400</v>
      </c>
      <c r="G44" s="54">
        <v>21250000</v>
      </c>
      <c r="H44" s="54">
        <f t="shared" si="0"/>
        <v>8400</v>
      </c>
      <c r="I44" s="54"/>
    </row>
    <row r="45" spans="1:9">
      <c r="A45" s="16">
        <f t="shared" si="2"/>
        <v>43</v>
      </c>
      <c r="B45" s="16" t="s">
        <v>331</v>
      </c>
      <c r="C45" s="16">
        <v>5</v>
      </c>
      <c r="E45" s="53">
        <v>100</v>
      </c>
      <c r="F45" s="54">
        <f t="shared" si="1"/>
        <v>8400</v>
      </c>
      <c r="G45" s="54">
        <v>21250000</v>
      </c>
      <c r="H45" s="54">
        <f t="shared" si="0"/>
        <v>8400</v>
      </c>
      <c r="I45" s="54"/>
    </row>
    <row r="46" spans="1:9">
      <c r="A46" s="16">
        <f t="shared" si="2"/>
        <v>44</v>
      </c>
      <c r="B46" s="16" t="s">
        <v>331</v>
      </c>
      <c r="C46" s="16">
        <v>5</v>
      </c>
      <c r="E46" s="53">
        <v>100</v>
      </c>
      <c r="F46" s="54">
        <f t="shared" si="1"/>
        <v>8400</v>
      </c>
      <c r="G46" s="54">
        <v>21250000</v>
      </c>
      <c r="H46" s="54">
        <f t="shared" si="0"/>
        <v>8400</v>
      </c>
      <c r="I46" s="54"/>
    </row>
    <row r="47" spans="1:9">
      <c r="A47" s="16">
        <f t="shared" si="2"/>
        <v>45</v>
      </c>
      <c r="B47" s="16" t="s">
        <v>331</v>
      </c>
      <c r="C47" s="16">
        <v>5</v>
      </c>
      <c r="E47" s="53">
        <v>100</v>
      </c>
      <c r="F47" s="54">
        <f t="shared" si="1"/>
        <v>8400</v>
      </c>
      <c r="G47" s="54">
        <v>21250000</v>
      </c>
      <c r="H47" s="54">
        <f t="shared" si="0"/>
        <v>8400</v>
      </c>
      <c r="I47" s="54"/>
    </row>
    <row r="48" spans="1:9">
      <c r="A48" s="16">
        <f t="shared" si="2"/>
        <v>46</v>
      </c>
      <c r="B48" s="16" t="s">
        <v>331</v>
      </c>
      <c r="C48" s="16">
        <v>5</v>
      </c>
      <c r="E48" s="53">
        <v>100</v>
      </c>
      <c r="F48" s="54">
        <f t="shared" si="1"/>
        <v>8400</v>
      </c>
      <c r="G48" s="54">
        <v>21250000</v>
      </c>
      <c r="H48" s="54">
        <f t="shared" si="0"/>
        <v>8400</v>
      </c>
      <c r="I48" s="54"/>
    </row>
    <row r="49" spans="1:9">
      <c r="A49" s="16">
        <f t="shared" si="2"/>
        <v>47</v>
      </c>
      <c r="B49" s="16" t="s">
        <v>331</v>
      </c>
      <c r="C49" s="16">
        <v>5</v>
      </c>
      <c r="E49" s="53">
        <v>100</v>
      </c>
      <c r="F49" s="54">
        <f t="shared" si="1"/>
        <v>8400</v>
      </c>
      <c r="G49" s="54">
        <v>21250000</v>
      </c>
      <c r="H49" s="54">
        <f t="shared" si="0"/>
        <v>8400</v>
      </c>
      <c r="I49" s="54"/>
    </row>
    <row r="50" spans="1:9">
      <c r="A50" s="16">
        <f t="shared" si="2"/>
        <v>48</v>
      </c>
      <c r="B50" s="16" t="s">
        <v>331</v>
      </c>
      <c r="C50" s="16">
        <v>5</v>
      </c>
      <c r="E50" s="53">
        <v>100</v>
      </c>
      <c r="F50" s="54">
        <f t="shared" si="1"/>
        <v>8400</v>
      </c>
      <c r="G50" s="54">
        <v>21250000</v>
      </c>
      <c r="H50" s="54">
        <f t="shared" si="0"/>
        <v>8400</v>
      </c>
      <c r="I50" s="54"/>
    </row>
    <row r="51" spans="1:9">
      <c r="A51" s="16">
        <f t="shared" si="2"/>
        <v>49</v>
      </c>
      <c r="B51" s="16" t="s">
        <v>331</v>
      </c>
      <c r="C51" s="16">
        <v>5</v>
      </c>
      <c r="E51" s="53">
        <v>100</v>
      </c>
      <c r="F51" s="54">
        <f t="shared" si="1"/>
        <v>8400</v>
      </c>
      <c r="G51" s="54">
        <v>21250000</v>
      </c>
      <c r="H51" s="54">
        <f t="shared" si="0"/>
        <v>8400</v>
      </c>
      <c r="I51" s="54"/>
    </row>
    <row r="52" spans="1:9">
      <c r="A52" s="16">
        <f t="shared" si="2"/>
        <v>50</v>
      </c>
      <c r="B52" s="16" t="s">
        <v>331</v>
      </c>
      <c r="C52" s="16">
        <v>5</v>
      </c>
      <c r="E52" s="53">
        <v>100</v>
      </c>
      <c r="F52" s="54">
        <f t="shared" si="1"/>
        <v>8400</v>
      </c>
      <c r="G52" s="54">
        <v>21250000</v>
      </c>
      <c r="H52" s="54">
        <f t="shared" si="0"/>
        <v>8400</v>
      </c>
      <c r="I52" s="54"/>
    </row>
    <row r="53" spans="1:9">
      <c r="A53" s="16">
        <f t="shared" si="2"/>
        <v>51</v>
      </c>
      <c r="B53" s="16" t="s">
        <v>331</v>
      </c>
      <c r="C53" s="16">
        <v>5</v>
      </c>
      <c r="E53" s="53">
        <v>100</v>
      </c>
      <c r="F53" s="54">
        <f t="shared" si="1"/>
        <v>8400</v>
      </c>
      <c r="G53" s="54">
        <v>21250000</v>
      </c>
      <c r="H53" s="54">
        <f t="shared" si="0"/>
        <v>8400</v>
      </c>
      <c r="I53" s="54"/>
    </row>
    <row r="54" spans="1:9">
      <c r="A54" s="16">
        <f t="shared" si="2"/>
        <v>52</v>
      </c>
      <c r="B54" s="16" t="s">
        <v>331</v>
      </c>
      <c r="C54" s="16">
        <v>5</v>
      </c>
      <c r="E54" s="53">
        <v>100</v>
      </c>
      <c r="F54" s="54">
        <f t="shared" si="1"/>
        <v>8400</v>
      </c>
      <c r="G54" s="54">
        <v>21250000</v>
      </c>
      <c r="H54" s="54">
        <f t="shared" si="0"/>
        <v>8400</v>
      </c>
      <c r="I54" s="54"/>
    </row>
    <row r="55" spans="1:9">
      <c r="A55" s="16">
        <f t="shared" si="2"/>
        <v>53</v>
      </c>
      <c r="B55" s="16" t="s">
        <v>331</v>
      </c>
      <c r="C55" s="16">
        <v>5</v>
      </c>
      <c r="E55" s="53">
        <v>100</v>
      </c>
      <c r="F55" s="54">
        <f t="shared" si="1"/>
        <v>8400</v>
      </c>
      <c r="G55" s="54">
        <v>21250000</v>
      </c>
      <c r="H55" s="54">
        <f t="shared" si="0"/>
        <v>8400</v>
      </c>
      <c r="I55" s="54"/>
    </row>
    <row r="56" spans="1:9">
      <c r="A56" s="16">
        <f t="shared" si="2"/>
        <v>54</v>
      </c>
      <c r="B56" s="16" t="s">
        <v>331</v>
      </c>
      <c r="C56" s="16">
        <v>5</v>
      </c>
      <c r="E56" s="53">
        <v>100</v>
      </c>
      <c r="F56" s="54">
        <f t="shared" si="1"/>
        <v>8400</v>
      </c>
      <c r="G56" s="54">
        <v>21250000</v>
      </c>
      <c r="H56" s="54">
        <f t="shared" si="0"/>
        <v>8400</v>
      </c>
      <c r="I56" s="54"/>
    </row>
    <row r="57" spans="1:9">
      <c r="A57" s="16">
        <f t="shared" si="2"/>
        <v>55</v>
      </c>
      <c r="B57" s="16" t="s">
        <v>331</v>
      </c>
      <c r="C57" s="16">
        <v>5</v>
      </c>
      <c r="E57" s="53">
        <v>100</v>
      </c>
      <c r="F57" s="54">
        <f t="shared" si="1"/>
        <v>8400</v>
      </c>
      <c r="G57" s="54">
        <v>21250000</v>
      </c>
      <c r="H57" s="54">
        <f t="shared" si="0"/>
        <v>8400</v>
      </c>
      <c r="I57" s="54"/>
    </row>
    <row r="58" spans="1:9">
      <c r="A58" s="16">
        <f t="shared" si="2"/>
        <v>56</v>
      </c>
      <c r="B58" s="16" t="s">
        <v>331</v>
      </c>
      <c r="C58" s="16">
        <v>5</v>
      </c>
      <c r="E58" s="53">
        <v>100</v>
      </c>
      <c r="F58" s="54">
        <f t="shared" si="1"/>
        <v>8400</v>
      </c>
      <c r="G58" s="54">
        <v>21250000</v>
      </c>
      <c r="H58" s="54">
        <f t="shared" si="0"/>
        <v>8400</v>
      </c>
      <c r="I58" s="54"/>
    </row>
    <row r="59" spans="1:9">
      <c r="A59" s="16">
        <f t="shared" si="2"/>
        <v>57</v>
      </c>
      <c r="B59" s="16" t="s">
        <v>331</v>
      </c>
      <c r="C59" s="16">
        <v>5</v>
      </c>
      <c r="E59" s="53">
        <v>100</v>
      </c>
      <c r="F59" s="54">
        <f t="shared" si="1"/>
        <v>8400</v>
      </c>
      <c r="G59" s="54">
        <v>21250000</v>
      </c>
      <c r="H59" s="54">
        <f t="shared" si="0"/>
        <v>8400</v>
      </c>
      <c r="I59" s="54"/>
    </row>
    <row r="60" spans="1:9">
      <c r="A60" s="16">
        <f t="shared" si="2"/>
        <v>58</v>
      </c>
      <c r="B60" s="16" t="s">
        <v>331</v>
      </c>
      <c r="C60" s="16">
        <v>5</v>
      </c>
      <c r="E60" s="53">
        <v>100</v>
      </c>
      <c r="F60" s="54">
        <f t="shared" si="1"/>
        <v>8400</v>
      </c>
      <c r="G60" s="54">
        <v>21250000</v>
      </c>
      <c r="H60" s="54">
        <f t="shared" si="0"/>
        <v>8400</v>
      </c>
      <c r="I60" s="54"/>
    </row>
    <row r="61" spans="1:9">
      <c r="A61" s="16">
        <f t="shared" si="2"/>
        <v>59</v>
      </c>
      <c r="B61" s="16" t="s">
        <v>331</v>
      </c>
      <c r="C61" s="16">
        <v>5</v>
      </c>
      <c r="E61" s="53">
        <v>100</v>
      </c>
      <c r="F61" s="54">
        <f t="shared" si="1"/>
        <v>8400</v>
      </c>
      <c r="G61" s="54">
        <v>21250000</v>
      </c>
      <c r="H61" s="54">
        <f t="shared" si="0"/>
        <v>8400</v>
      </c>
      <c r="I61" s="54"/>
    </row>
    <row r="62" spans="1:9">
      <c r="A62" s="16">
        <f t="shared" si="2"/>
        <v>60</v>
      </c>
      <c r="B62" s="16" t="s">
        <v>331</v>
      </c>
      <c r="C62" s="16">
        <v>5</v>
      </c>
      <c r="E62" s="53">
        <v>100</v>
      </c>
      <c r="F62" s="54">
        <f t="shared" si="1"/>
        <v>8400</v>
      </c>
      <c r="G62" s="54">
        <v>21250000</v>
      </c>
      <c r="H62" s="54">
        <f t="shared" si="0"/>
        <v>8400</v>
      </c>
      <c r="I62" s="54"/>
    </row>
    <row r="63" spans="1:9">
      <c r="A63" s="16">
        <f t="shared" si="2"/>
        <v>61</v>
      </c>
      <c r="B63" s="16" t="s">
        <v>331</v>
      </c>
      <c r="C63" s="16">
        <v>5</v>
      </c>
      <c r="E63" s="53">
        <v>100</v>
      </c>
      <c r="F63" s="54">
        <f t="shared" si="1"/>
        <v>8400</v>
      </c>
      <c r="G63" s="54">
        <v>21250000</v>
      </c>
      <c r="H63" s="54">
        <f t="shared" si="0"/>
        <v>8400</v>
      </c>
      <c r="I63" s="54"/>
    </row>
    <row r="64" spans="1:9">
      <c r="A64" s="16">
        <f t="shared" si="2"/>
        <v>62</v>
      </c>
      <c r="B64" s="16" t="s">
        <v>331</v>
      </c>
      <c r="C64" s="16">
        <v>5</v>
      </c>
      <c r="E64" s="53">
        <v>100</v>
      </c>
      <c r="F64" s="54">
        <f t="shared" si="1"/>
        <v>8400</v>
      </c>
      <c r="G64" s="54">
        <v>21250000</v>
      </c>
      <c r="H64" s="54">
        <f t="shared" si="0"/>
        <v>8400</v>
      </c>
      <c r="I64" s="54"/>
    </row>
    <row r="65" spans="1:9">
      <c r="A65" s="16">
        <f t="shared" si="2"/>
        <v>63</v>
      </c>
      <c r="B65" s="16" t="s">
        <v>331</v>
      </c>
      <c r="C65" s="16">
        <v>5</v>
      </c>
      <c r="E65" s="53">
        <v>100</v>
      </c>
      <c r="F65" s="54">
        <f t="shared" si="1"/>
        <v>8400</v>
      </c>
      <c r="G65" s="54">
        <v>21250000</v>
      </c>
      <c r="H65" s="54">
        <f t="shared" si="0"/>
        <v>8400</v>
      </c>
      <c r="I65" s="54"/>
    </row>
    <row r="66" spans="1:9">
      <c r="A66" s="16">
        <f t="shared" si="2"/>
        <v>64</v>
      </c>
      <c r="B66" s="16" t="s">
        <v>331</v>
      </c>
      <c r="C66" s="16">
        <v>5</v>
      </c>
      <c r="E66" s="53">
        <v>100</v>
      </c>
      <c r="F66" s="54">
        <f t="shared" si="1"/>
        <v>8400</v>
      </c>
      <c r="G66" s="54">
        <v>21250000</v>
      </c>
      <c r="H66" s="54">
        <f t="shared" si="0"/>
        <v>8400</v>
      </c>
      <c r="I66" s="54"/>
    </row>
    <row r="67" spans="1:9">
      <c r="A67" s="16">
        <f t="shared" si="2"/>
        <v>65</v>
      </c>
      <c r="B67" s="16" t="s">
        <v>331</v>
      </c>
      <c r="C67" s="16">
        <v>5</v>
      </c>
      <c r="E67" s="53">
        <v>100</v>
      </c>
      <c r="F67" s="54">
        <f t="shared" si="1"/>
        <v>8400</v>
      </c>
      <c r="G67" s="54">
        <v>21250000</v>
      </c>
      <c r="H67" s="54">
        <f t="shared" si="0"/>
        <v>8400</v>
      </c>
      <c r="I67" s="54"/>
    </row>
    <row r="68" spans="1:9">
      <c r="A68" s="16">
        <f t="shared" si="2"/>
        <v>66</v>
      </c>
      <c r="B68" s="16" t="s">
        <v>331</v>
      </c>
      <c r="C68" s="16">
        <v>5</v>
      </c>
      <c r="E68" s="53">
        <v>100</v>
      </c>
      <c r="F68" s="54">
        <f t="shared" si="1"/>
        <v>8400</v>
      </c>
      <c r="G68" s="54">
        <v>21250000</v>
      </c>
      <c r="H68" s="54">
        <f t="shared" ref="H68:H105" si="3">(F68)</f>
        <v>8400</v>
      </c>
      <c r="I68" s="54"/>
    </row>
    <row r="69" spans="1:9">
      <c r="A69" s="16">
        <f t="shared" si="2"/>
        <v>67</v>
      </c>
      <c r="B69" s="16" t="s">
        <v>331</v>
      </c>
      <c r="C69" s="16">
        <v>5</v>
      </c>
      <c r="E69" s="53">
        <v>100</v>
      </c>
      <c r="F69" s="54">
        <f t="shared" ref="F69:F105" si="4">(E69)*(84)</f>
        <v>8400</v>
      </c>
      <c r="G69" s="54">
        <v>21250000</v>
      </c>
      <c r="H69" s="54">
        <f t="shared" si="3"/>
        <v>8400</v>
      </c>
      <c r="I69" s="54"/>
    </row>
    <row r="70" spans="1:9">
      <c r="A70" s="16">
        <f>(A69)+(1)</f>
        <v>68</v>
      </c>
      <c r="B70" s="16" t="s">
        <v>331</v>
      </c>
      <c r="C70" s="16">
        <v>5</v>
      </c>
      <c r="E70" s="53">
        <v>100</v>
      </c>
      <c r="F70" s="54">
        <f t="shared" si="4"/>
        <v>8400</v>
      </c>
      <c r="G70" s="54">
        <v>21250000</v>
      </c>
      <c r="H70" s="54">
        <f t="shared" si="3"/>
        <v>8400</v>
      </c>
      <c r="I70" s="54"/>
    </row>
    <row r="71" spans="1:9">
      <c r="A71" s="16">
        <f t="shared" si="2"/>
        <v>69</v>
      </c>
      <c r="B71" s="16" t="s">
        <v>331</v>
      </c>
      <c r="C71" s="16">
        <v>5</v>
      </c>
      <c r="E71" s="53">
        <v>100</v>
      </c>
      <c r="F71" s="54">
        <f t="shared" si="4"/>
        <v>8400</v>
      </c>
      <c r="G71" s="54">
        <v>21250000</v>
      </c>
      <c r="H71" s="54">
        <f t="shared" si="3"/>
        <v>8400</v>
      </c>
      <c r="I71" s="54"/>
    </row>
    <row r="72" spans="1:9">
      <c r="A72" s="16">
        <f t="shared" ref="A72:A86" si="5">(A71)+(1)</f>
        <v>70</v>
      </c>
      <c r="B72" s="16" t="s">
        <v>331</v>
      </c>
      <c r="C72" s="16">
        <v>5</v>
      </c>
      <c r="E72" s="53">
        <v>100</v>
      </c>
      <c r="F72" s="54">
        <f t="shared" si="4"/>
        <v>8400</v>
      </c>
      <c r="G72" s="54">
        <v>21250000</v>
      </c>
      <c r="H72" s="54">
        <f t="shared" si="3"/>
        <v>8400</v>
      </c>
      <c r="I72" s="54"/>
    </row>
    <row r="73" spans="1:9">
      <c r="A73" s="16">
        <f t="shared" si="5"/>
        <v>71</v>
      </c>
      <c r="B73" s="16" t="s">
        <v>331</v>
      </c>
      <c r="C73" s="16">
        <v>5</v>
      </c>
      <c r="E73" s="53">
        <v>100</v>
      </c>
      <c r="F73" s="54">
        <f t="shared" si="4"/>
        <v>8400</v>
      </c>
      <c r="G73" s="54">
        <v>21250000</v>
      </c>
      <c r="H73" s="54">
        <f t="shared" si="3"/>
        <v>8400</v>
      </c>
      <c r="I73" s="54"/>
    </row>
    <row r="74" spans="1:9">
      <c r="A74" s="16">
        <f t="shared" si="5"/>
        <v>72</v>
      </c>
      <c r="B74" s="16" t="s">
        <v>331</v>
      </c>
      <c r="C74" s="16">
        <v>5</v>
      </c>
      <c r="E74" s="53">
        <v>100</v>
      </c>
      <c r="F74" s="54">
        <f t="shared" si="4"/>
        <v>8400</v>
      </c>
      <c r="G74" s="54">
        <v>21250000</v>
      </c>
      <c r="H74" s="54">
        <f t="shared" si="3"/>
        <v>8400</v>
      </c>
      <c r="I74" s="54"/>
    </row>
    <row r="75" spans="1:9">
      <c r="A75" s="16">
        <f t="shared" si="5"/>
        <v>73</v>
      </c>
      <c r="B75" s="16" t="s">
        <v>331</v>
      </c>
      <c r="C75" s="16">
        <v>5</v>
      </c>
      <c r="E75" s="53">
        <v>100</v>
      </c>
      <c r="F75" s="54">
        <f t="shared" si="4"/>
        <v>8400</v>
      </c>
      <c r="G75" s="54">
        <v>21250000</v>
      </c>
      <c r="H75" s="54">
        <f t="shared" si="3"/>
        <v>8400</v>
      </c>
      <c r="I75" s="54"/>
    </row>
    <row r="76" spans="1:9">
      <c r="A76" s="16">
        <f t="shared" si="5"/>
        <v>74</v>
      </c>
      <c r="B76" s="16" t="s">
        <v>331</v>
      </c>
      <c r="C76" s="16">
        <v>5</v>
      </c>
      <c r="E76" s="53">
        <v>100</v>
      </c>
      <c r="F76" s="54">
        <f t="shared" si="4"/>
        <v>8400</v>
      </c>
      <c r="G76" s="54">
        <v>21250000</v>
      </c>
      <c r="H76" s="54">
        <f t="shared" si="3"/>
        <v>8400</v>
      </c>
      <c r="I76" s="54"/>
    </row>
    <row r="77" spans="1:9">
      <c r="A77" s="16">
        <f t="shared" si="5"/>
        <v>75</v>
      </c>
      <c r="B77" s="16" t="s">
        <v>331</v>
      </c>
      <c r="C77" s="16">
        <v>5</v>
      </c>
      <c r="E77" s="53">
        <v>100</v>
      </c>
      <c r="F77" s="54">
        <f t="shared" si="4"/>
        <v>8400</v>
      </c>
      <c r="G77" s="54">
        <v>21250000</v>
      </c>
      <c r="H77" s="54">
        <f t="shared" si="3"/>
        <v>8400</v>
      </c>
      <c r="I77" s="54"/>
    </row>
    <row r="78" spans="1:9">
      <c r="A78" s="16">
        <f t="shared" si="5"/>
        <v>76</v>
      </c>
      <c r="B78" s="16" t="s">
        <v>331</v>
      </c>
      <c r="C78" s="16">
        <v>5</v>
      </c>
      <c r="E78" s="53">
        <v>100</v>
      </c>
      <c r="F78" s="54">
        <f t="shared" si="4"/>
        <v>8400</v>
      </c>
      <c r="G78" s="54">
        <v>21250000</v>
      </c>
      <c r="H78" s="54">
        <f t="shared" si="3"/>
        <v>8400</v>
      </c>
      <c r="I78" s="54"/>
    </row>
    <row r="79" spans="1:9">
      <c r="A79" s="16">
        <f t="shared" si="5"/>
        <v>77</v>
      </c>
      <c r="B79" s="16" t="s">
        <v>331</v>
      </c>
      <c r="C79" s="16">
        <v>5</v>
      </c>
      <c r="E79" s="53">
        <v>100</v>
      </c>
      <c r="F79" s="54">
        <f t="shared" si="4"/>
        <v>8400</v>
      </c>
      <c r="G79" s="54">
        <v>21250000</v>
      </c>
      <c r="H79" s="54">
        <f t="shared" si="3"/>
        <v>8400</v>
      </c>
      <c r="I79" s="54"/>
    </row>
    <row r="80" spans="1:9">
      <c r="A80" s="16">
        <f t="shared" si="5"/>
        <v>78</v>
      </c>
      <c r="B80" s="16" t="s">
        <v>331</v>
      </c>
      <c r="C80" s="16">
        <v>5</v>
      </c>
      <c r="E80" s="53">
        <v>100</v>
      </c>
      <c r="F80" s="54">
        <f t="shared" si="4"/>
        <v>8400</v>
      </c>
      <c r="G80" s="54">
        <v>21250000</v>
      </c>
      <c r="H80" s="54">
        <f t="shared" si="3"/>
        <v>8400</v>
      </c>
      <c r="I80" s="54"/>
    </row>
    <row r="81" spans="1:9">
      <c r="A81" s="16">
        <f t="shared" si="5"/>
        <v>79</v>
      </c>
      <c r="B81" s="16" t="s">
        <v>331</v>
      </c>
      <c r="C81" s="16">
        <v>5</v>
      </c>
      <c r="E81" s="53">
        <v>100</v>
      </c>
      <c r="F81" s="54">
        <f t="shared" si="4"/>
        <v>8400</v>
      </c>
      <c r="G81" s="54">
        <v>21250000</v>
      </c>
      <c r="H81" s="54">
        <f t="shared" si="3"/>
        <v>8400</v>
      </c>
      <c r="I81" s="54"/>
    </row>
    <row r="82" spans="1:9">
      <c r="A82" s="16">
        <f t="shared" si="5"/>
        <v>80</v>
      </c>
      <c r="B82" s="16" t="s">
        <v>331</v>
      </c>
      <c r="C82" s="16">
        <v>5</v>
      </c>
      <c r="E82" s="53">
        <v>100</v>
      </c>
      <c r="F82" s="54">
        <f t="shared" si="4"/>
        <v>8400</v>
      </c>
      <c r="G82" s="54">
        <v>21250000</v>
      </c>
      <c r="H82" s="54">
        <f t="shared" si="3"/>
        <v>8400</v>
      </c>
      <c r="I82" s="54"/>
    </row>
    <row r="83" spans="1:9">
      <c r="A83" s="16">
        <f t="shared" si="5"/>
        <v>81</v>
      </c>
      <c r="B83" s="16" t="s">
        <v>331</v>
      </c>
      <c r="C83" s="16">
        <v>5</v>
      </c>
      <c r="E83" s="53">
        <v>100</v>
      </c>
      <c r="F83" s="54">
        <f t="shared" si="4"/>
        <v>8400</v>
      </c>
      <c r="G83" s="54">
        <v>21250000</v>
      </c>
      <c r="H83" s="54">
        <f t="shared" si="3"/>
        <v>8400</v>
      </c>
      <c r="I83" s="54"/>
    </row>
    <row r="84" spans="1:9">
      <c r="A84" s="16">
        <f t="shared" si="5"/>
        <v>82</v>
      </c>
      <c r="B84" s="16" t="s">
        <v>331</v>
      </c>
      <c r="C84" s="16">
        <v>5</v>
      </c>
      <c r="E84" s="53">
        <v>100</v>
      </c>
      <c r="F84" s="54">
        <f t="shared" si="4"/>
        <v>8400</v>
      </c>
      <c r="G84" s="54">
        <v>21250000</v>
      </c>
      <c r="H84" s="54">
        <f t="shared" si="3"/>
        <v>8400</v>
      </c>
      <c r="I84" s="54"/>
    </row>
    <row r="85" spans="1:9">
      <c r="A85" s="16">
        <f t="shared" si="5"/>
        <v>83</v>
      </c>
      <c r="B85" s="16" t="s">
        <v>331</v>
      </c>
      <c r="C85" s="16">
        <v>5</v>
      </c>
      <c r="E85" s="53">
        <v>100</v>
      </c>
      <c r="F85" s="54">
        <f t="shared" si="4"/>
        <v>8400</v>
      </c>
      <c r="G85" s="54">
        <v>21250000</v>
      </c>
      <c r="H85" s="54">
        <f t="shared" si="3"/>
        <v>8400</v>
      </c>
      <c r="I85" s="54"/>
    </row>
    <row r="86" spans="1:9">
      <c r="A86" s="16">
        <f t="shared" si="5"/>
        <v>84</v>
      </c>
      <c r="B86" s="16" t="s">
        <v>331</v>
      </c>
      <c r="C86" s="16">
        <v>5</v>
      </c>
      <c r="E86" s="53">
        <v>100</v>
      </c>
      <c r="F86" s="54">
        <f t="shared" si="4"/>
        <v>8400</v>
      </c>
      <c r="G86" s="54">
        <v>21250000</v>
      </c>
      <c r="H86" s="54">
        <f t="shared" si="3"/>
        <v>8400</v>
      </c>
      <c r="I86" s="54"/>
    </row>
    <row r="87" spans="1:9">
      <c r="A87" s="16">
        <v>85</v>
      </c>
      <c r="B87" s="16" t="s">
        <v>93</v>
      </c>
      <c r="C87" s="16">
        <v>5</v>
      </c>
      <c r="E87" s="71">
        <v>100</v>
      </c>
      <c r="F87" s="72">
        <f t="shared" si="4"/>
        <v>8400</v>
      </c>
      <c r="G87" s="72">
        <f>G3</f>
        <v>21250000</v>
      </c>
      <c r="H87" s="72">
        <f t="shared" si="3"/>
        <v>8400</v>
      </c>
      <c r="I87" s="72"/>
    </row>
    <row r="88" spans="1:9">
      <c r="A88" s="16">
        <v>86</v>
      </c>
      <c r="B88" s="16" t="s">
        <v>93</v>
      </c>
      <c r="C88" s="16">
        <v>5</v>
      </c>
      <c r="E88" s="53">
        <v>100</v>
      </c>
      <c r="F88" s="54">
        <f t="shared" si="4"/>
        <v>8400</v>
      </c>
      <c r="G88" s="54">
        <f>G3</f>
        <v>21250000</v>
      </c>
      <c r="H88" s="54">
        <f t="shared" si="3"/>
        <v>8400</v>
      </c>
      <c r="I88" s="54"/>
    </row>
    <row r="89" spans="1:9">
      <c r="A89" s="16">
        <v>87</v>
      </c>
      <c r="B89" s="16" t="s">
        <v>93</v>
      </c>
      <c r="C89" s="16">
        <v>5</v>
      </c>
      <c r="E89" s="53">
        <v>100</v>
      </c>
      <c r="F89" s="54">
        <f t="shared" si="4"/>
        <v>8400</v>
      </c>
      <c r="G89" s="54">
        <f>G3</f>
        <v>21250000</v>
      </c>
      <c r="H89" s="54">
        <f t="shared" si="3"/>
        <v>8400</v>
      </c>
      <c r="I89" s="54"/>
    </row>
    <row r="90" spans="1:9">
      <c r="A90" s="16">
        <v>88</v>
      </c>
      <c r="B90" s="16" t="s">
        <v>93</v>
      </c>
      <c r="C90" s="16">
        <v>5</v>
      </c>
      <c r="E90" s="71">
        <v>100</v>
      </c>
      <c r="F90" s="72">
        <f t="shared" si="4"/>
        <v>8400</v>
      </c>
      <c r="G90" s="72">
        <f>G3</f>
        <v>21250000</v>
      </c>
      <c r="H90" s="72">
        <f t="shared" si="3"/>
        <v>8400</v>
      </c>
      <c r="I90" s="72"/>
    </row>
    <row r="91" spans="1:9">
      <c r="A91" s="16">
        <v>89</v>
      </c>
      <c r="B91" s="16" t="s">
        <v>94</v>
      </c>
      <c r="C91" s="16">
        <v>25</v>
      </c>
      <c r="D91" s="16" t="s">
        <v>103</v>
      </c>
      <c r="E91" s="71">
        <v>500</v>
      </c>
      <c r="F91" s="72">
        <f t="shared" si="4"/>
        <v>42000</v>
      </c>
      <c r="G91" s="72">
        <f>G3*2</f>
        <v>42500000</v>
      </c>
      <c r="H91" s="72">
        <f t="shared" si="3"/>
        <v>42000</v>
      </c>
      <c r="I91" s="72"/>
    </row>
    <row r="92" spans="1:9">
      <c r="A92" s="16">
        <v>90</v>
      </c>
      <c r="B92" s="16" t="s">
        <v>95</v>
      </c>
      <c r="C92" s="16">
        <v>25</v>
      </c>
      <c r="D92" s="16" t="s">
        <v>103</v>
      </c>
      <c r="E92" s="71">
        <v>500</v>
      </c>
      <c r="F92" s="72">
        <f t="shared" si="4"/>
        <v>42000</v>
      </c>
      <c r="G92" s="72">
        <f>G91</f>
        <v>42500000</v>
      </c>
      <c r="H92" s="72">
        <f t="shared" si="3"/>
        <v>42000</v>
      </c>
      <c r="I92" s="72"/>
    </row>
    <row r="93" spans="1:9">
      <c r="A93" s="16">
        <v>91</v>
      </c>
      <c r="B93" s="16" t="s">
        <v>96</v>
      </c>
      <c r="C93" s="16">
        <v>50</v>
      </c>
      <c r="D93" s="16" t="s">
        <v>103</v>
      </c>
      <c r="E93" s="71">
        <v>1000</v>
      </c>
      <c r="F93" s="72">
        <f t="shared" si="4"/>
        <v>84000</v>
      </c>
      <c r="G93" s="72">
        <f>G92*2</f>
        <v>85000000</v>
      </c>
      <c r="H93" s="72">
        <f t="shared" si="3"/>
        <v>84000</v>
      </c>
      <c r="I93" s="72"/>
    </row>
    <row r="94" spans="1:9">
      <c r="A94" s="16">
        <v>92</v>
      </c>
      <c r="B94" s="16" t="s">
        <v>96</v>
      </c>
      <c r="C94" s="16">
        <v>50</v>
      </c>
      <c r="D94" s="16" t="s">
        <v>103</v>
      </c>
      <c r="E94" s="71">
        <v>1000</v>
      </c>
      <c r="F94" s="72">
        <f t="shared" si="4"/>
        <v>84000</v>
      </c>
      <c r="G94" s="72">
        <f>G93</f>
        <v>85000000</v>
      </c>
      <c r="H94" s="72">
        <f t="shared" si="3"/>
        <v>84000</v>
      </c>
      <c r="I94" s="72"/>
    </row>
    <row r="95" spans="1:9">
      <c r="A95" s="16">
        <v>93</v>
      </c>
      <c r="B95" s="16" t="s">
        <v>97</v>
      </c>
      <c r="C95" s="16">
        <v>100</v>
      </c>
      <c r="D95" s="16" t="s">
        <v>103</v>
      </c>
      <c r="E95" s="71">
        <v>2000</v>
      </c>
      <c r="F95" s="72">
        <f t="shared" si="4"/>
        <v>168000</v>
      </c>
      <c r="G95" s="72">
        <f>G94*2</f>
        <v>170000000</v>
      </c>
      <c r="H95" s="72">
        <f t="shared" si="3"/>
        <v>168000</v>
      </c>
      <c r="I95" s="72"/>
    </row>
    <row r="96" spans="1:9">
      <c r="A96" s="16">
        <v>94</v>
      </c>
      <c r="B96" s="16" t="s">
        <v>98</v>
      </c>
      <c r="C96" s="16">
        <v>100</v>
      </c>
      <c r="D96" s="16" t="s">
        <v>103</v>
      </c>
      <c r="E96" s="71">
        <v>2000</v>
      </c>
      <c r="F96" s="72">
        <f t="shared" si="4"/>
        <v>168000</v>
      </c>
      <c r="G96" s="72">
        <f>G95</f>
        <v>170000000</v>
      </c>
      <c r="H96" s="72">
        <f t="shared" si="3"/>
        <v>168000</v>
      </c>
      <c r="I96" s="72"/>
    </row>
    <row r="97" spans="1:9">
      <c r="A97" s="16">
        <v>95</v>
      </c>
      <c r="B97" s="16" t="s">
        <v>98</v>
      </c>
      <c r="C97" s="16">
        <v>100</v>
      </c>
      <c r="D97" s="16" t="s">
        <v>103</v>
      </c>
      <c r="E97" s="71">
        <v>2000</v>
      </c>
      <c r="F97" s="72">
        <f t="shared" si="4"/>
        <v>168000</v>
      </c>
      <c r="G97" s="72">
        <f>G95</f>
        <v>170000000</v>
      </c>
      <c r="H97" s="72">
        <f t="shared" si="3"/>
        <v>168000</v>
      </c>
      <c r="I97" s="72"/>
    </row>
    <row r="98" spans="1:9">
      <c r="A98" s="16">
        <v>96</v>
      </c>
      <c r="B98" s="16" t="s">
        <v>99</v>
      </c>
      <c r="C98" s="16">
        <v>1000</v>
      </c>
      <c r="D98" s="16" t="s">
        <v>103</v>
      </c>
      <c r="E98" s="71">
        <v>15000</v>
      </c>
      <c r="F98" s="72">
        <f t="shared" si="4"/>
        <v>1260000</v>
      </c>
      <c r="G98" s="72">
        <f>G95*2</f>
        <v>340000000</v>
      </c>
      <c r="H98" s="72">
        <f t="shared" si="3"/>
        <v>1260000</v>
      </c>
      <c r="I98" s="72"/>
    </row>
    <row r="99" spans="1:9">
      <c r="A99" s="16">
        <v>97</v>
      </c>
      <c r="B99" s="16" t="s">
        <v>100</v>
      </c>
      <c r="C99" s="16">
        <v>1000</v>
      </c>
      <c r="D99" s="16" t="s">
        <v>103</v>
      </c>
      <c r="E99" s="71">
        <f>E98</f>
        <v>15000</v>
      </c>
      <c r="F99" s="72">
        <f t="shared" si="4"/>
        <v>1260000</v>
      </c>
      <c r="G99" s="72">
        <f>G98</f>
        <v>340000000</v>
      </c>
      <c r="H99" s="72">
        <f t="shared" si="3"/>
        <v>1260000</v>
      </c>
      <c r="I99" s="72"/>
    </row>
    <row r="100" spans="1:9">
      <c r="A100" s="16">
        <v>98</v>
      </c>
      <c r="B100" s="16" t="s">
        <v>101</v>
      </c>
      <c r="C100" s="16">
        <v>1000</v>
      </c>
      <c r="D100" s="16" t="s">
        <v>103</v>
      </c>
      <c r="E100" s="71">
        <f>E98</f>
        <v>15000</v>
      </c>
      <c r="F100" s="72">
        <f t="shared" si="4"/>
        <v>1260000</v>
      </c>
      <c r="G100" s="72">
        <f>G98</f>
        <v>340000000</v>
      </c>
      <c r="H100" s="72">
        <f t="shared" si="3"/>
        <v>1260000</v>
      </c>
      <c r="I100" s="72"/>
    </row>
    <row r="101" spans="1:9">
      <c r="A101" s="16">
        <v>99</v>
      </c>
      <c r="B101" s="16" t="s">
        <v>101</v>
      </c>
      <c r="C101" s="16">
        <v>1000</v>
      </c>
      <c r="D101" s="16" t="s">
        <v>103</v>
      </c>
      <c r="E101" s="71">
        <f>E98</f>
        <v>15000</v>
      </c>
      <c r="F101" s="72">
        <f t="shared" si="4"/>
        <v>1260000</v>
      </c>
      <c r="G101" s="72">
        <f>G98</f>
        <v>340000000</v>
      </c>
      <c r="H101" s="72">
        <f t="shared" si="3"/>
        <v>1260000</v>
      </c>
      <c r="I101" s="72"/>
    </row>
    <row r="102" spans="1:9">
      <c r="A102" s="16">
        <v>100</v>
      </c>
      <c r="B102" s="16" t="s">
        <v>102</v>
      </c>
      <c r="C102" s="16">
        <v>1000</v>
      </c>
      <c r="D102" s="16" t="s">
        <v>103</v>
      </c>
      <c r="E102" s="71">
        <f>E98</f>
        <v>15000</v>
      </c>
      <c r="F102" s="72">
        <f t="shared" si="4"/>
        <v>1260000</v>
      </c>
      <c r="G102" s="72">
        <f>G98</f>
        <v>340000000</v>
      </c>
      <c r="H102" s="72">
        <f t="shared" si="3"/>
        <v>1260000</v>
      </c>
      <c r="I102" s="72"/>
    </row>
    <row r="103" spans="1:9">
      <c r="A103" s="16">
        <v>101</v>
      </c>
      <c r="B103" s="16" t="s">
        <v>104</v>
      </c>
      <c r="C103" s="16">
        <f>C98</f>
        <v>1000</v>
      </c>
      <c r="D103" s="16" t="s">
        <v>103</v>
      </c>
      <c r="E103" s="71">
        <f>E98</f>
        <v>15000</v>
      </c>
      <c r="F103" s="72">
        <f t="shared" si="4"/>
        <v>1260000</v>
      </c>
      <c r="G103" s="72">
        <f>G98</f>
        <v>340000000</v>
      </c>
      <c r="H103" s="72">
        <f t="shared" si="3"/>
        <v>1260000</v>
      </c>
      <c r="I103" s="72"/>
    </row>
    <row r="104" spans="1:9">
      <c r="A104" s="16">
        <v>102</v>
      </c>
      <c r="B104" s="16" t="s">
        <v>99</v>
      </c>
      <c r="C104" s="16">
        <f>C98</f>
        <v>1000</v>
      </c>
      <c r="D104" s="16" t="s">
        <v>103</v>
      </c>
      <c r="E104" s="71">
        <f>E98</f>
        <v>15000</v>
      </c>
      <c r="F104" s="72">
        <f t="shared" si="4"/>
        <v>1260000</v>
      </c>
      <c r="G104" s="72">
        <f>G98</f>
        <v>340000000</v>
      </c>
      <c r="H104" s="72">
        <f t="shared" si="3"/>
        <v>1260000</v>
      </c>
      <c r="I104" s="72"/>
    </row>
    <row r="105" spans="1:9">
      <c r="A105" s="16">
        <v>103</v>
      </c>
      <c r="B105" s="16" t="s">
        <v>99</v>
      </c>
      <c r="C105" s="16">
        <f>C98</f>
        <v>1000</v>
      </c>
      <c r="D105" s="16" t="s">
        <v>103</v>
      </c>
      <c r="E105" s="71">
        <f>E98</f>
        <v>15000</v>
      </c>
      <c r="F105" s="72">
        <f t="shared" si="4"/>
        <v>1260000</v>
      </c>
      <c r="G105" s="72">
        <f>G98</f>
        <v>340000000</v>
      </c>
      <c r="H105" s="72">
        <f t="shared" si="3"/>
        <v>1260000</v>
      </c>
      <c r="I105" s="72"/>
    </row>
    <row r="106" spans="1:9">
      <c r="E106" s="53"/>
      <c r="F106" s="54"/>
      <c r="G106" s="54"/>
      <c r="H106" s="54"/>
      <c r="I106" s="54"/>
    </row>
    <row r="107" spans="1:9" ht="17">
      <c r="A107" s="17" t="s">
        <v>22</v>
      </c>
      <c r="C107" s="16">
        <f>SUM(C3:C106)</f>
        <v>8890</v>
      </c>
      <c r="E107" s="53">
        <f>SUM(E3:E106)</f>
        <v>137800</v>
      </c>
      <c r="F107" s="54">
        <f>SUM(F3:F106)</f>
        <v>11575200</v>
      </c>
      <c r="G107" s="54"/>
      <c r="H107" s="54"/>
      <c r="I107" s="54"/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K27"/>
  <sheetViews>
    <sheetView workbookViewId="0">
      <selection activeCell="D56" sqref="D56"/>
    </sheetView>
  </sheetViews>
  <sheetFormatPr baseColWidth="10" defaultColWidth="9.1640625" defaultRowHeight="12"/>
  <cols>
    <col min="1" max="1" width="8.5" style="16" bestFit="1" customWidth="1"/>
    <col min="2" max="2" width="7.5" style="16" bestFit="1" customWidth="1"/>
    <col min="3" max="3" width="12" style="16" bestFit="1" customWidth="1"/>
    <col min="4" max="4" width="20.6640625" style="16" bestFit="1" customWidth="1"/>
    <col min="5" max="5" width="17.83203125" style="19" bestFit="1" customWidth="1"/>
    <col min="6" max="6" width="16.83203125" style="19" bestFit="1" customWidth="1"/>
    <col min="7" max="7" width="15.1640625" style="19" bestFit="1" customWidth="1"/>
    <col min="8" max="8" width="20" style="54" bestFit="1" customWidth="1"/>
    <col min="9" max="9" width="7.5" style="16" bestFit="1" customWidth="1"/>
    <col min="10" max="10" width="19.6640625" style="54" bestFit="1" customWidth="1"/>
    <col min="11" max="11" width="20" style="54" bestFit="1" customWidth="1"/>
    <col min="12" max="16384" width="9.1640625" style="16"/>
  </cols>
  <sheetData>
    <row r="2" spans="1:11" s="17" customFormat="1" ht="17">
      <c r="A2" s="17" t="s">
        <v>324</v>
      </c>
      <c r="B2" s="17" t="s">
        <v>325</v>
      </c>
      <c r="C2" s="17" t="s">
        <v>327</v>
      </c>
      <c r="D2" s="17" t="s">
        <v>328</v>
      </c>
      <c r="E2" s="18" t="s">
        <v>332</v>
      </c>
      <c r="F2" s="18" t="s">
        <v>329</v>
      </c>
      <c r="G2" s="18" t="s">
        <v>330</v>
      </c>
      <c r="H2" s="55" t="s">
        <v>179</v>
      </c>
      <c r="I2" s="17" t="s">
        <v>333</v>
      </c>
      <c r="J2" s="55" t="s">
        <v>106</v>
      </c>
      <c r="K2" s="55" t="s">
        <v>257</v>
      </c>
    </row>
    <row r="3" spans="1:11">
      <c r="A3" s="16">
        <v>1</v>
      </c>
      <c r="B3" s="16" t="s">
        <v>331</v>
      </c>
      <c r="C3" s="16" t="s">
        <v>335</v>
      </c>
      <c r="D3" s="52">
        <v>100</v>
      </c>
      <c r="E3" s="54">
        <f>(D3)*(84)</f>
        <v>8400</v>
      </c>
      <c r="F3" s="54">
        <v>20000000</v>
      </c>
      <c r="G3" s="54">
        <f>(E3)</f>
        <v>8400</v>
      </c>
      <c r="H3" s="54">
        <f>SUM(F3:F100)</f>
        <v>610000000</v>
      </c>
      <c r="I3" s="16">
        <f>Inventory!I5</f>
        <v>1050</v>
      </c>
      <c r="J3" s="54">
        <f>(K3)+(H3)</f>
        <v>989260000</v>
      </c>
      <c r="K3" s="54">
        <f>SUM(G3:G100)*(I3)</f>
        <v>379260000</v>
      </c>
    </row>
    <row r="4" spans="1:11">
      <c r="A4" s="16">
        <f>(A3)+(1)</f>
        <v>2</v>
      </c>
      <c r="B4" s="16" t="s">
        <v>331</v>
      </c>
      <c r="C4" s="16" t="s">
        <v>335</v>
      </c>
      <c r="D4" s="52">
        <v>100</v>
      </c>
      <c r="E4" s="54">
        <f t="shared" ref="E4:E25" si="0">(D4)*(84)</f>
        <v>8400</v>
      </c>
      <c r="F4" s="54">
        <v>20000000</v>
      </c>
      <c r="G4" s="54">
        <f t="shared" ref="G4:G25" si="1">(E4)</f>
        <v>8400</v>
      </c>
    </row>
    <row r="5" spans="1:11">
      <c r="A5" s="16">
        <f>(A4)+(1)</f>
        <v>3</v>
      </c>
      <c r="B5" s="16" t="s">
        <v>331</v>
      </c>
      <c r="C5" s="16" t="s">
        <v>335</v>
      </c>
      <c r="D5" s="52">
        <v>100</v>
      </c>
      <c r="E5" s="54">
        <f t="shared" si="0"/>
        <v>8400</v>
      </c>
      <c r="F5" s="54">
        <v>20000000</v>
      </c>
      <c r="G5" s="54">
        <f t="shared" si="1"/>
        <v>8400</v>
      </c>
    </row>
    <row r="6" spans="1:11">
      <c r="A6" s="16">
        <f t="shared" ref="A6:A25" si="2">(A5)+(1)</f>
        <v>4</v>
      </c>
      <c r="B6" s="16" t="s">
        <v>331</v>
      </c>
      <c r="C6" s="16" t="s">
        <v>335</v>
      </c>
      <c r="D6" s="52">
        <v>100</v>
      </c>
      <c r="E6" s="54">
        <f t="shared" si="0"/>
        <v>8400</v>
      </c>
      <c r="F6" s="54">
        <v>20000000</v>
      </c>
      <c r="G6" s="54">
        <f t="shared" si="1"/>
        <v>8400</v>
      </c>
    </row>
    <row r="7" spans="1:11">
      <c r="A7" s="16">
        <f t="shared" si="2"/>
        <v>5</v>
      </c>
      <c r="B7" s="16" t="s">
        <v>331</v>
      </c>
      <c r="C7" s="16" t="s">
        <v>335</v>
      </c>
      <c r="D7" s="52">
        <v>100</v>
      </c>
      <c r="E7" s="54">
        <f t="shared" si="0"/>
        <v>8400</v>
      </c>
      <c r="F7" s="54">
        <v>20000000</v>
      </c>
      <c r="G7" s="54">
        <f t="shared" si="1"/>
        <v>8400</v>
      </c>
    </row>
    <row r="8" spans="1:11">
      <c r="A8" s="16">
        <f t="shared" si="2"/>
        <v>6</v>
      </c>
      <c r="B8" s="16" t="s">
        <v>331</v>
      </c>
      <c r="C8" s="16" t="s">
        <v>335</v>
      </c>
      <c r="D8" s="52">
        <v>100</v>
      </c>
      <c r="E8" s="54">
        <f t="shared" si="0"/>
        <v>8400</v>
      </c>
      <c r="F8" s="54">
        <v>20000000</v>
      </c>
      <c r="G8" s="54">
        <f t="shared" si="1"/>
        <v>8400</v>
      </c>
    </row>
    <row r="9" spans="1:11">
      <c r="A9" s="16">
        <f t="shared" si="2"/>
        <v>7</v>
      </c>
      <c r="B9" s="16" t="s">
        <v>331</v>
      </c>
      <c r="C9" s="16" t="s">
        <v>335</v>
      </c>
      <c r="D9" s="52">
        <v>100</v>
      </c>
      <c r="E9" s="54">
        <f t="shared" si="0"/>
        <v>8400</v>
      </c>
      <c r="F9" s="54">
        <v>20000000</v>
      </c>
      <c r="G9" s="54">
        <f t="shared" si="1"/>
        <v>8400</v>
      </c>
    </row>
    <row r="10" spans="1:11">
      <c r="A10" s="16">
        <f t="shared" si="2"/>
        <v>8</v>
      </c>
      <c r="B10" s="16" t="s">
        <v>331</v>
      </c>
      <c r="C10" s="16" t="s">
        <v>335</v>
      </c>
      <c r="D10" s="52">
        <v>100</v>
      </c>
      <c r="E10" s="54">
        <f t="shared" si="0"/>
        <v>8400</v>
      </c>
      <c r="F10" s="54">
        <v>20000000</v>
      </c>
      <c r="G10" s="54">
        <f t="shared" si="1"/>
        <v>8400</v>
      </c>
    </row>
    <row r="11" spans="1:11">
      <c r="A11" s="16">
        <f t="shared" si="2"/>
        <v>9</v>
      </c>
      <c r="B11" s="16" t="s">
        <v>331</v>
      </c>
      <c r="C11" s="16" t="s">
        <v>335</v>
      </c>
      <c r="D11" s="52">
        <v>100</v>
      </c>
      <c r="E11" s="54">
        <f t="shared" si="0"/>
        <v>8400</v>
      </c>
      <c r="F11" s="54">
        <v>20000000</v>
      </c>
      <c r="G11" s="54">
        <f t="shared" si="1"/>
        <v>8400</v>
      </c>
    </row>
    <row r="12" spans="1:11">
      <c r="A12" s="16">
        <f t="shared" si="2"/>
        <v>10</v>
      </c>
      <c r="B12" s="16" t="s">
        <v>331</v>
      </c>
      <c r="C12" s="16" t="s">
        <v>335</v>
      </c>
      <c r="D12" s="52">
        <v>100</v>
      </c>
      <c r="E12" s="54">
        <f t="shared" si="0"/>
        <v>8400</v>
      </c>
      <c r="F12" s="54">
        <v>20000000</v>
      </c>
      <c r="G12" s="54">
        <f t="shared" si="1"/>
        <v>8400</v>
      </c>
    </row>
    <row r="13" spans="1:11">
      <c r="A13" s="16">
        <f t="shared" si="2"/>
        <v>11</v>
      </c>
      <c r="B13" s="16" t="s">
        <v>331</v>
      </c>
      <c r="C13" s="16" t="s">
        <v>335</v>
      </c>
      <c r="D13" s="52">
        <v>100</v>
      </c>
      <c r="E13" s="54">
        <f t="shared" si="0"/>
        <v>8400</v>
      </c>
      <c r="F13" s="54">
        <v>20000000</v>
      </c>
      <c r="G13" s="54">
        <f t="shared" si="1"/>
        <v>8400</v>
      </c>
    </row>
    <row r="14" spans="1:11">
      <c r="A14" s="16">
        <f t="shared" si="2"/>
        <v>12</v>
      </c>
      <c r="B14" s="16" t="s">
        <v>331</v>
      </c>
      <c r="C14" s="16" t="s">
        <v>335</v>
      </c>
      <c r="D14" s="52">
        <v>100</v>
      </c>
      <c r="E14" s="54">
        <f t="shared" si="0"/>
        <v>8400</v>
      </c>
      <c r="F14" s="54">
        <v>20000000</v>
      </c>
      <c r="G14" s="54">
        <f t="shared" si="1"/>
        <v>8400</v>
      </c>
    </row>
    <row r="15" spans="1:11">
      <c r="A15" s="16">
        <f t="shared" si="2"/>
        <v>13</v>
      </c>
      <c r="B15" s="16" t="s">
        <v>331</v>
      </c>
      <c r="C15" s="16" t="s">
        <v>335</v>
      </c>
      <c r="D15" s="52">
        <v>100</v>
      </c>
      <c r="E15" s="54">
        <f t="shared" si="0"/>
        <v>8400</v>
      </c>
      <c r="F15" s="54">
        <v>20000000</v>
      </c>
      <c r="G15" s="54">
        <f t="shared" si="1"/>
        <v>8400</v>
      </c>
    </row>
    <row r="16" spans="1:11">
      <c r="A16" s="16">
        <f t="shared" si="2"/>
        <v>14</v>
      </c>
      <c r="B16" s="16" t="s">
        <v>331</v>
      </c>
      <c r="C16" s="16" t="s">
        <v>335</v>
      </c>
      <c r="D16" s="52">
        <v>100</v>
      </c>
      <c r="E16" s="54">
        <f t="shared" si="0"/>
        <v>8400</v>
      </c>
      <c r="F16" s="54">
        <v>20000000</v>
      </c>
      <c r="G16" s="54">
        <f t="shared" si="1"/>
        <v>8400</v>
      </c>
    </row>
    <row r="17" spans="1:7">
      <c r="A17" s="16">
        <f t="shared" si="2"/>
        <v>15</v>
      </c>
      <c r="B17" s="16" t="s">
        <v>331</v>
      </c>
      <c r="C17" s="16" t="s">
        <v>335</v>
      </c>
      <c r="D17" s="52">
        <v>100</v>
      </c>
      <c r="E17" s="54">
        <f t="shared" si="0"/>
        <v>8400</v>
      </c>
      <c r="F17" s="54">
        <v>20000000</v>
      </c>
      <c r="G17" s="54">
        <f t="shared" si="1"/>
        <v>8400</v>
      </c>
    </row>
    <row r="18" spans="1:7">
      <c r="A18" s="16">
        <f t="shared" si="2"/>
        <v>16</v>
      </c>
      <c r="B18" s="16" t="s">
        <v>331</v>
      </c>
      <c r="C18" s="16" t="s">
        <v>335</v>
      </c>
      <c r="D18" s="52">
        <v>100</v>
      </c>
      <c r="E18" s="54">
        <f t="shared" si="0"/>
        <v>8400</v>
      </c>
      <c r="F18" s="54">
        <v>20000000</v>
      </c>
      <c r="G18" s="54">
        <f t="shared" si="1"/>
        <v>8400</v>
      </c>
    </row>
    <row r="19" spans="1:7">
      <c r="A19" s="16">
        <f t="shared" si="2"/>
        <v>17</v>
      </c>
      <c r="B19" s="16" t="s">
        <v>331</v>
      </c>
      <c r="C19" s="16" t="s">
        <v>335</v>
      </c>
      <c r="D19" s="52">
        <v>100</v>
      </c>
      <c r="E19" s="54">
        <f t="shared" si="0"/>
        <v>8400</v>
      </c>
      <c r="F19" s="54">
        <v>20000000</v>
      </c>
      <c r="G19" s="54">
        <f t="shared" si="1"/>
        <v>8400</v>
      </c>
    </row>
    <row r="20" spans="1:7">
      <c r="A20" s="16">
        <f t="shared" si="2"/>
        <v>18</v>
      </c>
      <c r="B20" s="16" t="s">
        <v>331</v>
      </c>
      <c r="C20" s="16" t="s">
        <v>335</v>
      </c>
      <c r="D20" s="52">
        <v>100</v>
      </c>
      <c r="E20" s="54">
        <f t="shared" si="0"/>
        <v>8400</v>
      </c>
      <c r="F20" s="54">
        <v>20000000</v>
      </c>
      <c r="G20" s="54">
        <f t="shared" si="1"/>
        <v>8400</v>
      </c>
    </row>
    <row r="21" spans="1:7">
      <c r="A21" s="16">
        <f t="shared" si="2"/>
        <v>19</v>
      </c>
      <c r="B21" s="16" t="s">
        <v>334</v>
      </c>
      <c r="C21" s="16" t="s">
        <v>336</v>
      </c>
      <c r="D21" s="52">
        <v>500</v>
      </c>
      <c r="E21" s="54">
        <f t="shared" si="0"/>
        <v>42000</v>
      </c>
      <c r="F21" s="54">
        <v>50000000</v>
      </c>
      <c r="G21" s="54">
        <f t="shared" si="1"/>
        <v>42000</v>
      </c>
    </row>
    <row r="22" spans="1:7">
      <c r="A22" s="16">
        <f t="shared" si="2"/>
        <v>20</v>
      </c>
      <c r="B22" s="16" t="s">
        <v>334</v>
      </c>
      <c r="C22" s="16" t="s">
        <v>336</v>
      </c>
      <c r="D22" s="52">
        <v>500</v>
      </c>
      <c r="E22" s="54">
        <f t="shared" si="0"/>
        <v>42000</v>
      </c>
      <c r="F22" s="54">
        <v>50000000</v>
      </c>
      <c r="G22" s="54">
        <f t="shared" si="1"/>
        <v>42000</v>
      </c>
    </row>
    <row r="23" spans="1:7">
      <c r="A23" s="16">
        <f t="shared" si="2"/>
        <v>21</v>
      </c>
      <c r="B23" s="16" t="s">
        <v>334</v>
      </c>
      <c r="C23" s="16" t="s">
        <v>336</v>
      </c>
      <c r="D23" s="52">
        <v>500</v>
      </c>
      <c r="E23" s="54">
        <f t="shared" si="0"/>
        <v>42000</v>
      </c>
      <c r="F23" s="54">
        <v>50000000</v>
      </c>
      <c r="G23" s="54">
        <f t="shared" si="1"/>
        <v>42000</v>
      </c>
    </row>
    <row r="24" spans="1:7">
      <c r="A24" s="16">
        <f t="shared" si="2"/>
        <v>22</v>
      </c>
      <c r="B24" s="16" t="s">
        <v>334</v>
      </c>
      <c r="C24" s="16" t="s">
        <v>336</v>
      </c>
      <c r="D24" s="52">
        <v>500</v>
      </c>
      <c r="E24" s="54">
        <f t="shared" si="0"/>
        <v>42000</v>
      </c>
      <c r="F24" s="54">
        <v>50000000</v>
      </c>
      <c r="G24" s="54">
        <f t="shared" si="1"/>
        <v>42000</v>
      </c>
    </row>
    <row r="25" spans="1:7">
      <c r="A25" s="16">
        <f t="shared" si="2"/>
        <v>23</v>
      </c>
      <c r="B25" s="16" t="s">
        <v>334</v>
      </c>
      <c r="C25" s="16" t="s">
        <v>336</v>
      </c>
      <c r="D25" s="52">
        <v>500</v>
      </c>
      <c r="E25" s="54">
        <f t="shared" si="0"/>
        <v>42000</v>
      </c>
      <c r="F25" s="54">
        <v>50000000</v>
      </c>
      <c r="G25" s="54">
        <f t="shared" si="1"/>
        <v>42000</v>
      </c>
    </row>
    <row r="26" spans="1:7">
      <c r="D26" s="52"/>
      <c r="E26" s="54"/>
      <c r="F26" s="54"/>
      <c r="G26" s="54"/>
    </row>
    <row r="27" spans="1:7" ht="17">
      <c r="A27" s="17" t="s">
        <v>21</v>
      </c>
      <c r="D27" s="52">
        <f>SUM(D3:D26)</f>
        <v>4300</v>
      </c>
      <c r="E27" s="54">
        <f>SUM(E3:E26)</f>
        <v>361200</v>
      </c>
      <c r="F27" s="54"/>
      <c r="G27" s="54"/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J24"/>
  <sheetViews>
    <sheetView workbookViewId="0">
      <selection activeCell="J4" sqref="J4"/>
    </sheetView>
  </sheetViews>
  <sheetFormatPr baseColWidth="10" defaultColWidth="9.1640625" defaultRowHeight="12"/>
  <cols>
    <col min="1" max="1" width="8.5" style="16" bestFit="1" customWidth="1"/>
    <col min="2" max="2" width="7.5" style="16" bestFit="1" customWidth="1"/>
    <col min="3" max="3" width="20.6640625" style="16" bestFit="1" customWidth="1"/>
    <col min="4" max="4" width="17.83203125" style="54" bestFit="1" customWidth="1"/>
    <col min="5" max="5" width="16.83203125" style="54" bestFit="1" customWidth="1"/>
    <col min="6" max="6" width="15.1640625" style="54" bestFit="1" customWidth="1"/>
    <col min="7" max="7" width="20" style="54" bestFit="1" customWidth="1"/>
    <col min="8" max="8" width="7.5" style="16" bestFit="1" customWidth="1"/>
    <col min="9" max="9" width="19.6640625" style="54" bestFit="1" customWidth="1"/>
    <col min="10" max="10" width="20" style="54" bestFit="1" customWidth="1"/>
    <col min="11" max="16384" width="9.1640625" style="16"/>
  </cols>
  <sheetData>
    <row r="2" spans="1:10" s="17" customFormat="1" ht="17">
      <c r="A2" s="17" t="s">
        <v>324</v>
      </c>
      <c r="B2" s="17" t="s">
        <v>325</v>
      </c>
      <c r="C2" s="17" t="s">
        <v>328</v>
      </c>
      <c r="D2" s="55" t="s">
        <v>332</v>
      </c>
      <c r="E2" s="55" t="s">
        <v>329</v>
      </c>
      <c r="F2" s="55" t="s">
        <v>330</v>
      </c>
      <c r="G2" s="55" t="s">
        <v>178</v>
      </c>
      <c r="H2" s="17" t="s">
        <v>333</v>
      </c>
      <c r="I2" s="55" t="s">
        <v>106</v>
      </c>
      <c r="J2" s="55" t="s">
        <v>257</v>
      </c>
    </row>
    <row r="3" spans="1:10">
      <c r="A3" s="16">
        <v>1</v>
      </c>
      <c r="B3" s="16" t="s">
        <v>331</v>
      </c>
      <c r="C3" s="16">
        <v>100</v>
      </c>
      <c r="D3" s="54">
        <f>(C3)*(84)</f>
        <v>8400</v>
      </c>
      <c r="E3" s="54">
        <v>20000000</v>
      </c>
      <c r="F3" s="54">
        <f>(D3)</f>
        <v>8400</v>
      </c>
      <c r="G3" s="54">
        <f>SUM(E3:E100)</f>
        <v>400000000</v>
      </c>
      <c r="H3" s="16">
        <f>Inventory!I5</f>
        <v>1050</v>
      </c>
      <c r="I3" s="54">
        <f>((J3)+(G3))</f>
        <v>576400000</v>
      </c>
      <c r="J3" s="54">
        <f>SUM(F3:F100)*(H3)</f>
        <v>176400000</v>
      </c>
    </row>
    <row r="4" spans="1:10">
      <c r="A4" s="16">
        <f>(A3)+(1)</f>
        <v>2</v>
      </c>
      <c r="B4" s="16" t="s">
        <v>331</v>
      </c>
      <c r="C4" s="16">
        <v>100</v>
      </c>
      <c r="D4" s="54">
        <f t="shared" ref="D4:D22" si="0">(C4)*(84)</f>
        <v>8400</v>
      </c>
      <c r="E4" s="54">
        <v>20000000</v>
      </c>
      <c r="F4" s="54">
        <f t="shared" ref="F4:F22" si="1">(D4)</f>
        <v>8400</v>
      </c>
    </row>
    <row r="5" spans="1:10">
      <c r="A5" s="16">
        <f>(A4)+(1)</f>
        <v>3</v>
      </c>
      <c r="B5" s="16" t="s">
        <v>331</v>
      </c>
      <c r="C5" s="16">
        <v>100</v>
      </c>
      <c r="D5" s="54">
        <f t="shared" si="0"/>
        <v>8400</v>
      </c>
      <c r="E5" s="54">
        <v>20000000</v>
      </c>
      <c r="F5" s="54">
        <f t="shared" si="1"/>
        <v>8400</v>
      </c>
    </row>
    <row r="6" spans="1:10">
      <c r="A6" s="16">
        <f t="shared" ref="A6:A22" si="2">(A5)+(1)</f>
        <v>4</v>
      </c>
      <c r="B6" s="16" t="s">
        <v>331</v>
      </c>
      <c r="C6" s="16">
        <v>100</v>
      </c>
      <c r="D6" s="54">
        <f t="shared" si="0"/>
        <v>8400</v>
      </c>
      <c r="E6" s="54">
        <v>20000000</v>
      </c>
      <c r="F6" s="54">
        <f t="shared" si="1"/>
        <v>8400</v>
      </c>
    </row>
    <row r="7" spans="1:10">
      <c r="A7" s="16">
        <f t="shared" si="2"/>
        <v>5</v>
      </c>
      <c r="B7" s="16" t="s">
        <v>331</v>
      </c>
      <c r="C7" s="16">
        <v>100</v>
      </c>
      <c r="D7" s="54">
        <f t="shared" si="0"/>
        <v>8400</v>
      </c>
      <c r="E7" s="54">
        <v>20000000</v>
      </c>
      <c r="F7" s="54">
        <f t="shared" si="1"/>
        <v>8400</v>
      </c>
    </row>
    <row r="8" spans="1:10">
      <c r="A8" s="16">
        <f t="shared" si="2"/>
        <v>6</v>
      </c>
      <c r="B8" s="16" t="s">
        <v>331</v>
      </c>
      <c r="C8" s="16">
        <v>100</v>
      </c>
      <c r="D8" s="54">
        <f t="shared" si="0"/>
        <v>8400</v>
      </c>
      <c r="E8" s="54">
        <v>20000000</v>
      </c>
      <c r="F8" s="54">
        <f t="shared" si="1"/>
        <v>8400</v>
      </c>
    </row>
    <row r="9" spans="1:10">
      <c r="A9" s="16">
        <f t="shared" si="2"/>
        <v>7</v>
      </c>
      <c r="B9" s="16" t="s">
        <v>331</v>
      </c>
      <c r="C9" s="16">
        <v>100</v>
      </c>
      <c r="D9" s="54">
        <f t="shared" si="0"/>
        <v>8400</v>
      </c>
      <c r="E9" s="54">
        <v>20000000</v>
      </c>
      <c r="F9" s="54">
        <f t="shared" si="1"/>
        <v>8400</v>
      </c>
    </row>
    <row r="10" spans="1:10">
      <c r="A10" s="16">
        <f t="shared" si="2"/>
        <v>8</v>
      </c>
      <c r="B10" s="16" t="s">
        <v>331</v>
      </c>
      <c r="C10" s="16">
        <v>100</v>
      </c>
      <c r="D10" s="54">
        <f t="shared" si="0"/>
        <v>8400</v>
      </c>
      <c r="E10" s="54">
        <v>20000000</v>
      </c>
      <c r="F10" s="54">
        <f t="shared" si="1"/>
        <v>8400</v>
      </c>
    </row>
    <row r="11" spans="1:10">
      <c r="A11" s="16">
        <f t="shared" si="2"/>
        <v>9</v>
      </c>
      <c r="B11" s="16" t="s">
        <v>331</v>
      </c>
      <c r="C11" s="16">
        <v>100</v>
      </c>
      <c r="D11" s="54">
        <f t="shared" si="0"/>
        <v>8400</v>
      </c>
      <c r="E11" s="54">
        <v>20000000</v>
      </c>
      <c r="F11" s="54">
        <f t="shared" si="1"/>
        <v>8400</v>
      </c>
    </row>
    <row r="12" spans="1:10">
      <c r="A12" s="16">
        <f t="shared" si="2"/>
        <v>10</v>
      </c>
      <c r="B12" s="16" t="s">
        <v>331</v>
      </c>
      <c r="C12" s="16">
        <v>100</v>
      </c>
      <c r="D12" s="54">
        <f t="shared" si="0"/>
        <v>8400</v>
      </c>
      <c r="E12" s="54">
        <v>20000000</v>
      </c>
      <c r="F12" s="54">
        <f t="shared" si="1"/>
        <v>8400</v>
      </c>
    </row>
    <row r="13" spans="1:10">
      <c r="A13" s="16">
        <f t="shared" si="2"/>
        <v>11</v>
      </c>
      <c r="B13" s="16" t="s">
        <v>331</v>
      </c>
      <c r="C13" s="16">
        <v>100</v>
      </c>
      <c r="D13" s="54">
        <f t="shared" si="0"/>
        <v>8400</v>
      </c>
      <c r="E13" s="54">
        <v>20000000</v>
      </c>
      <c r="F13" s="54">
        <f t="shared" si="1"/>
        <v>8400</v>
      </c>
    </row>
    <row r="14" spans="1:10">
      <c r="A14" s="16">
        <f t="shared" si="2"/>
        <v>12</v>
      </c>
      <c r="B14" s="16" t="s">
        <v>331</v>
      </c>
      <c r="C14" s="16">
        <v>100</v>
      </c>
      <c r="D14" s="54">
        <f t="shared" si="0"/>
        <v>8400</v>
      </c>
      <c r="E14" s="54">
        <v>20000000</v>
      </c>
      <c r="F14" s="54">
        <f t="shared" si="1"/>
        <v>8400</v>
      </c>
    </row>
    <row r="15" spans="1:10">
      <c r="A15" s="16">
        <f t="shared" si="2"/>
        <v>13</v>
      </c>
      <c r="B15" s="16" t="s">
        <v>331</v>
      </c>
      <c r="C15" s="16">
        <v>100</v>
      </c>
      <c r="D15" s="54">
        <f t="shared" si="0"/>
        <v>8400</v>
      </c>
      <c r="E15" s="54">
        <v>20000000</v>
      </c>
      <c r="F15" s="54">
        <f t="shared" si="1"/>
        <v>8400</v>
      </c>
    </row>
    <row r="16" spans="1:10">
      <c r="A16" s="16">
        <f t="shared" si="2"/>
        <v>14</v>
      </c>
      <c r="B16" s="16" t="s">
        <v>331</v>
      </c>
      <c r="C16" s="16">
        <v>100</v>
      </c>
      <c r="D16" s="54">
        <f t="shared" si="0"/>
        <v>8400</v>
      </c>
      <c r="E16" s="54">
        <v>20000000</v>
      </c>
      <c r="F16" s="54">
        <f t="shared" si="1"/>
        <v>8400</v>
      </c>
    </row>
    <row r="17" spans="1:6">
      <c r="A17" s="16">
        <f t="shared" si="2"/>
        <v>15</v>
      </c>
      <c r="B17" s="16" t="s">
        <v>331</v>
      </c>
      <c r="C17" s="16">
        <v>100</v>
      </c>
      <c r="D17" s="54">
        <f t="shared" si="0"/>
        <v>8400</v>
      </c>
      <c r="E17" s="54">
        <v>20000000</v>
      </c>
      <c r="F17" s="54">
        <f t="shared" si="1"/>
        <v>8400</v>
      </c>
    </row>
    <row r="18" spans="1:6">
      <c r="A18" s="16">
        <f t="shared" si="2"/>
        <v>16</v>
      </c>
      <c r="B18" s="16" t="s">
        <v>331</v>
      </c>
      <c r="C18" s="16">
        <v>100</v>
      </c>
      <c r="D18" s="54">
        <f t="shared" si="0"/>
        <v>8400</v>
      </c>
      <c r="E18" s="54">
        <v>20000000</v>
      </c>
      <c r="F18" s="54">
        <f t="shared" si="1"/>
        <v>8400</v>
      </c>
    </row>
    <row r="19" spans="1:6">
      <c r="A19" s="16">
        <f t="shared" si="2"/>
        <v>17</v>
      </c>
      <c r="B19" s="16" t="s">
        <v>331</v>
      </c>
      <c r="C19" s="16">
        <v>100</v>
      </c>
      <c r="D19" s="54">
        <f t="shared" si="0"/>
        <v>8400</v>
      </c>
      <c r="E19" s="54">
        <v>20000000</v>
      </c>
      <c r="F19" s="54">
        <f t="shared" si="1"/>
        <v>8400</v>
      </c>
    </row>
    <row r="20" spans="1:6">
      <c r="A20" s="16">
        <f t="shared" si="2"/>
        <v>18</v>
      </c>
      <c r="B20" s="16" t="s">
        <v>331</v>
      </c>
      <c r="C20" s="16">
        <v>100</v>
      </c>
      <c r="D20" s="54">
        <f t="shared" si="0"/>
        <v>8400</v>
      </c>
      <c r="E20" s="54">
        <v>20000000</v>
      </c>
      <c r="F20" s="54">
        <f t="shared" si="1"/>
        <v>8400</v>
      </c>
    </row>
    <row r="21" spans="1:6">
      <c r="A21" s="16">
        <f t="shared" si="2"/>
        <v>19</v>
      </c>
      <c r="B21" s="16" t="s">
        <v>331</v>
      </c>
      <c r="C21" s="16">
        <v>100</v>
      </c>
      <c r="D21" s="54">
        <f t="shared" si="0"/>
        <v>8400</v>
      </c>
      <c r="E21" s="54">
        <v>20000000</v>
      </c>
      <c r="F21" s="54">
        <f t="shared" si="1"/>
        <v>8400</v>
      </c>
    </row>
    <row r="22" spans="1:6">
      <c r="A22" s="16">
        <f t="shared" si="2"/>
        <v>20</v>
      </c>
      <c r="B22" s="16" t="s">
        <v>331</v>
      </c>
      <c r="C22" s="16">
        <v>100</v>
      </c>
      <c r="D22" s="54">
        <f t="shared" si="0"/>
        <v>8400</v>
      </c>
      <c r="E22" s="54">
        <v>20000000</v>
      </c>
      <c r="F22" s="54">
        <f t="shared" si="1"/>
        <v>8400</v>
      </c>
    </row>
    <row r="24" spans="1:6" ht="17">
      <c r="A24" s="17" t="s">
        <v>21</v>
      </c>
      <c r="C24" s="52">
        <f>SUM(C3:C23)</f>
        <v>2000</v>
      </c>
      <c r="D24" s="54">
        <f>SUM(D3:D23)</f>
        <v>168000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81"/>
  <sheetViews>
    <sheetView workbookViewId="0">
      <selection activeCell="N5" sqref="N5"/>
    </sheetView>
  </sheetViews>
  <sheetFormatPr baseColWidth="10" defaultRowHeight="12"/>
  <cols>
    <col min="1" max="1" width="7.33203125" bestFit="1" customWidth="1"/>
    <col min="2" max="2" width="7.1640625" bestFit="1" customWidth="1"/>
    <col min="3" max="3" width="10" bestFit="1" customWidth="1"/>
    <col min="4" max="4" width="12.5" bestFit="1" customWidth="1"/>
    <col min="5" max="5" width="17.1640625" bestFit="1" customWidth="1"/>
    <col min="6" max="8" width="17.1640625" customWidth="1"/>
    <col min="9" max="9" width="17" bestFit="1" customWidth="1"/>
    <col min="10" max="10" width="16" bestFit="1" customWidth="1"/>
    <col min="11" max="11" width="14.5" bestFit="1" customWidth="1"/>
    <col min="12" max="12" width="21.5" bestFit="1" customWidth="1"/>
    <col min="13" max="13" width="6.5" bestFit="1" customWidth="1"/>
    <col min="14" max="14" width="21.1640625" bestFit="1" customWidth="1"/>
    <col min="15" max="15" width="21.5" bestFit="1" customWidth="1"/>
  </cols>
  <sheetData>
    <row r="1" spans="1:15" ht="17">
      <c r="J1" s="84" t="s">
        <v>368</v>
      </c>
      <c r="K1" s="85"/>
    </row>
    <row r="2" spans="1:15">
      <c r="A2" s="16"/>
      <c r="B2" s="16"/>
      <c r="C2" s="16"/>
      <c r="D2" s="16"/>
      <c r="E2" s="16"/>
      <c r="F2" s="16"/>
      <c r="G2" s="16"/>
      <c r="H2" s="16"/>
      <c r="I2" s="72"/>
      <c r="J2" s="72"/>
      <c r="K2" s="72"/>
      <c r="L2" s="72"/>
      <c r="M2" s="16"/>
      <c r="N2" s="72"/>
      <c r="O2" s="72"/>
    </row>
    <row r="3" spans="1:15" ht="17">
      <c r="A3" s="17" t="s">
        <v>324</v>
      </c>
      <c r="B3" s="17" t="s">
        <v>325</v>
      </c>
      <c r="C3" s="17" t="s">
        <v>370</v>
      </c>
      <c r="D3" s="17" t="s">
        <v>369</v>
      </c>
      <c r="E3" s="17" t="s">
        <v>328</v>
      </c>
      <c r="F3" s="17" t="s">
        <v>387</v>
      </c>
      <c r="G3" s="17" t="s">
        <v>396</v>
      </c>
      <c r="H3" s="17" t="s">
        <v>397</v>
      </c>
      <c r="I3" s="55" t="s">
        <v>332</v>
      </c>
      <c r="J3" s="55" t="s">
        <v>329</v>
      </c>
      <c r="K3" s="55" t="s">
        <v>330</v>
      </c>
      <c r="L3" s="55" t="s">
        <v>178</v>
      </c>
      <c r="M3" s="17" t="s">
        <v>333</v>
      </c>
      <c r="N3" s="55" t="s">
        <v>106</v>
      </c>
      <c r="O3" s="55" t="s">
        <v>253</v>
      </c>
    </row>
    <row r="4" spans="1:15">
      <c r="A4" s="16">
        <v>1</v>
      </c>
      <c r="B4" s="16" t="s">
        <v>395</v>
      </c>
      <c r="C4" s="16" t="s">
        <v>386</v>
      </c>
      <c r="D4" s="73">
        <v>10000000</v>
      </c>
      <c r="E4" s="16">
        <v>500</v>
      </c>
      <c r="F4" s="75">
        <v>0.8</v>
      </c>
      <c r="G4" s="76">
        <f>D4*F4</f>
        <v>8000000</v>
      </c>
      <c r="H4" s="76">
        <f>Inventory!I5*G4</f>
        <v>8400000000</v>
      </c>
      <c r="I4" s="72">
        <f>(E4)*(84)</f>
        <v>42000</v>
      </c>
      <c r="J4" s="72">
        <v>40000000</v>
      </c>
      <c r="K4" s="72">
        <f>(I4)</f>
        <v>42000</v>
      </c>
      <c r="L4" s="72">
        <f>SUM(J4:J49)</f>
        <v>1800000000</v>
      </c>
      <c r="M4" s="16">
        <f>Inventory!I5</f>
        <v>1050</v>
      </c>
      <c r="N4" s="72">
        <f>((O4)+(L4))</f>
        <v>3784500000</v>
      </c>
      <c r="O4" s="72">
        <f>SUM(K4:K49)*(M4)</f>
        <v>1984500000</v>
      </c>
    </row>
    <row r="5" spans="1:15">
      <c r="A5" s="16">
        <f>(A4)+(1)</f>
        <v>2</v>
      </c>
      <c r="B5" s="16" t="s">
        <v>398</v>
      </c>
      <c r="C5" s="16" t="s">
        <v>386</v>
      </c>
      <c r="D5" s="73">
        <v>10000000</v>
      </c>
      <c r="E5" s="16">
        <v>500</v>
      </c>
      <c r="F5" s="75">
        <v>0.8</v>
      </c>
      <c r="G5" s="76">
        <f t="shared" ref="G5:G31" si="0">D5*F5</f>
        <v>8000000</v>
      </c>
      <c r="H5" s="76">
        <f>Inventory!I5*G4</f>
        <v>8400000000</v>
      </c>
      <c r="I5" s="72">
        <f t="shared" ref="I5:I22" si="1">(E5)*(84)</f>
        <v>42000</v>
      </c>
      <c r="J5" s="72">
        <v>40000000</v>
      </c>
      <c r="K5" s="72">
        <f t="shared" ref="K5:K31" si="2">(I5)</f>
        <v>42000</v>
      </c>
      <c r="L5" s="72"/>
      <c r="M5" s="16"/>
      <c r="N5" s="72"/>
      <c r="O5" s="72"/>
    </row>
    <row r="6" spans="1:15">
      <c r="A6" s="16">
        <f>(A5)+(1)</f>
        <v>3</v>
      </c>
      <c r="B6" s="16" t="s">
        <v>398</v>
      </c>
      <c r="C6" s="16" t="s">
        <v>386</v>
      </c>
      <c r="D6" s="73">
        <v>10000000</v>
      </c>
      <c r="E6" s="16">
        <v>500</v>
      </c>
      <c r="F6" s="75">
        <v>0.8</v>
      </c>
      <c r="G6" s="76">
        <f t="shared" si="0"/>
        <v>8000000</v>
      </c>
      <c r="H6" s="76">
        <f>Inventory!I5*G4</f>
        <v>8400000000</v>
      </c>
      <c r="I6" s="72">
        <f t="shared" si="1"/>
        <v>42000</v>
      </c>
      <c r="J6" s="72">
        <v>40000000</v>
      </c>
      <c r="K6" s="72">
        <f t="shared" si="2"/>
        <v>42000</v>
      </c>
      <c r="L6" s="72"/>
      <c r="M6" s="16"/>
      <c r="N6" s="72"/>
      <c r="O6" s="72"/>
    </row>
    <row r="7" spans="1:15">
      <c r="A7" s="16">
        <f t="shared" ref="A7:A23" si="3">(A6)+(1)</f>
        <v>4</v>
      </c>
      <c r="B7" s="16" t="s">
        <v>395</v>
      </c>
      <c r="C7" s="16" t="s">
        <v>386</v>
      </c>
      <c r="D7" s="73">
        <v>10000000</v>
      </c>
      <c r="E7" s="16">
        <v>500</v>
      </c>
      <c r="F7" s="75">
        <v>0.8</v>
      </c>
      <c r="G7" s="76">
        <f t="shared" si="0"/>
        <v>8000000</v>
      </c>
      <c r="H7" s="76">
        <f>Inventory!I5*G4</f>
        <v>8400000000</v>
      </c>
      <c r="I7" s="72">
        <f t="shared" si="1"/>
        <v>42000</v>
      </c>
      <c r="J7" s="72">
        <v>40000000</v>
      </c>
      <c r="K7" s="72">
        <f t="shared" si="2"/>
        <v>42000</v>
      </c>
      <c r="L7" s="72"/>
      <c r="M7" s="16"/>
      <c r="N7" s="72"/>
      <c r="O7" s="72"/>
    </row>
    <row r="8" spans="1:15">
      <c r="A8" s="16">
        <f t="shared" si="3"/>
        <v>5</v>
      </c>
      <c r="B8" s="16" t="s">
        <v>395</v>
      </c>
      <c r="C8" s="16" t="s">
        <v>386</v>
      </c>
      <c r="D8" s="73">
        <v>10000000</v>
      </c>
      <c r="E8" s="16">
        <v>500</v>
      </c>
      <c r="F8" s="75">
        <v>0.8</v>
      </c>
      <c r="G8" s="76">
        <f t="shared" si="0"/>
        <v>8000000</v>
      </c>
      <c r="H8" s="76">
        <f>Inventory!I5*G4</f>
        <v>8400000000</v>
      </c>
      <c r="I8" s="72">
        <f t="shared" si="1"/>
        <v>42000</v>
      </c>
      <c r="J8" s="72">
        <v>40000000</v>
      </c>
      <c r="K8" s="72">
        <f t="shared" si="2"/>
        <v>42000</v>
      </c>
      <c r="L8" s="72"/>
      <c r="M8" s="16"/>
      <c r="N8" s="72"/>
      <c r="O8" s="72"/>
    </row>
    <row r="9" spans="1:15">
      <c r="A9" s="16">
        <f t="shared" si="3"/>
        <v>6</v>
      </c>
      <c r="B9" s="16" t="s">
        <v>395</v>
      </c>
      <c r="C9" s="16" t="s">
        <v>386</v>
      </c>
      <c r="D9" s="73">
        <v>10000000</v>
      </c>
      <c r="E9" s="16">
        <v>500</v>
      </c>
      <c r="F9" s="75">
        <v>0.8</v>
      </c>
      <c r="G9" s="76">
        <f t="shared" si="0"/>
        <v>8000000</v>
      </c>
      <c r="H9" s="76">
        <f>Inventory!I5*G4</f>
        <v>8400000000</v>
      </c>
      <c r="I9" s="72">
        <f t="shared" si="1"/>
        <v>42000</v>
      </c>
      <c r="J9" s="72">
        <v>40000000</v>
      </c>
      <c r="K9" s="72">
        <f t="shared" si="2"/>
        <v>42000</v>
      </c>
      <c r="L9" s="72"/>
      <c r="M9" s="16"/>
      <c r="N9" s="72"/>
      <c r="O9" s="72"/>
    </row>
    <row r="10" spans="1:15">
      <c r="A10" s="16">
        <f t="shared" si="3"/>
        <v>7</v>
      </c>
      <c r="B10" s="16" t="s">
        <v>395</v>
      </c>
      <c r="C10" s="16" t="s">
        <v>386</v>
      </c>
      <c r="D10" s="73">
        <v>10000000</v>
      </c>
      <c r="E10" s="16">
        <v>500</v>
      </c>
      <c r="F10" s="75">
        <v>0.8</v>
      </c>
      <c r="G10" s="76">
        <f t="shared" si="0"/>
        <v>8000000</v>
      </c>
      <c r="H10" s="76">
        <f>Inventory!I5*G4</f>
        <v>8400000000</v>
      </c>
      <c r="I10" s="72">
        <f t="shared" si="1"/>
        <v>42000</v>
      </c>
      <c r="J10" s="72">
        <v>40000000</v>
      </c>
      <c r="K10" s="72">
        <f t="shared" si="2"/>
        <v>42000</v>
      </c>
      <c r="L10" s="72"/>
      <c r="M10" s="16"/>
      <c r="N10" s="72"/>
      <c r="O10" s="72"/>
    </row>
    <row r="11" spans="1:15">
      <c r="A11" s="16">
        <f t="shared" si="3"/>
        <v>8</v>
      </c>
      <c r="B11" s="16" t="s">
        <v>399</v>
      </c>
      <c r="C11" s="16" t="s">
        <v>386</v>
      </c>
      <c r="D11" s="73">
        <v>10000000</v>
      </c>
      <c r="E11" s="16">
        <v>500</v>
      </c>
      <c r="F11" s="75">
        <v>0.8</v>
      </c>
      <c r="G11" s="76">
        <f t="shared" si="0"/>
        <v>8000000</v>
      </c>
      <c r="H11" s="76">
        <f>Inventory!I5*G4</f>
        <v>8400000000</v>
      </c>
      <c r="I11" s="72">
        <f t="shared" si="1"/>
        <v>42000</v>
      </c>
      <c r="J11" s="72">
        <v>40000000</v>
      </c>
      <c r="K11" s="72">
        <f t="shared" si="2"/>
        <v>42000</v>
      </c>
      <c r="L11" s="72"/>
      <c r="M11" s="16"/>
      <c r="N11" s="72"/>
      <c r="O11" s="72"/>
    </row>
    <row r="12" spans="1:15">
      <c r="A12" s="16">
        <f t="shared" si="3"/>
        <v>9</v>
      </c>
      <c r="B12" s="16" t="s">
        <v>395</v>
      </c>
      <c r="C12" s="16" t="s">
        <v>386</v>
      </c>
      <c r="D12" s="73">
        <v>10000000</v>
      </c>
      <c r="E12" s="16">
        <v>500</v>
      </c>
      <c r="F12" s="75">
        <v>0.8</v>
      </c>
      <c r="G12" s="76">
        <f t="shared" si="0"/>
        <v>8000000</v>
      </c>
      <c r="H12" s="76">
        <f>Inventory!I5*G4</f>
        <v>8400000000</v>
      </c>
      <c r="I12" s="72">
        <f t="shared" si="1"/>
        <v>42000</v>
      </c>
      <c r="J12" s="72">
        <v>40000000</v>
      </c>
      <c r="K12" s="72">
        <f t="shared" si="2"/>
        <v>42000</v>
      </c>
      <c r="L12" s="72"/>
      <c r="M12" s="16"/>
      <c r="N12" s="72"/>
      <c r="O12" s="72"/>
    </row>
    <row r="13" spans="1:15">
      <c r="A13" s="16">
        <f t="shared" si="3"/>
        <v>10</v>
      </c>
      <c r="B13" s="16" t="s">
        <v>395</v>
      </c>
      <c r="C13" s="16" t="s">
        <v>386</v>
      </c>
      <c r="D13" s="73">
        <v>10000000</v>
      </c>
      <c r="E13" s="16">
        <v>500</v>
      </c>
      <c r="F13" s="75">
        <v>0.8</v>
      </c>
      <c r="G13" s="76">
        <f t="shared" si="0"/>
        <v>8000000</v>
      </c>
      <c r="H13" s="76">
        <f>Inventory!I5*G4</f>
        <v>8400000000</v>
      </c>
      <c r="I13" s="72">
        <f t="shared" si="1"/>
        <v>42000</v>
      </c>
      <c r="J13" s="72">
        <v>40000000</v>
      </c>
      <c r="K13" s="72">
        <f t="shared" si="2"/>
        <v>42000</v>
      </c>
      <c r="L13" s="72"/>
      <c r="M13" s="16"/>
      <c r="N13" s="72"/>
      <c r="O13" s="72"/>
    </row>
    <row r="14" spans="1:15">
      <c r="A14" s="16">
        <f t="shared" si="3"/>
        <v>11</v>
      </c>
      <c r="B14" s="16" t="s">
        <v>395</v>
      </c>
      <c r="C14" s="16" t="s">
        <v>386</v>
      </c>
      <c r="D14" s="73">
        <v>10000000</v>
      </c>
      <c r="E14" s="16">
        <v>500</v>
      </c>
      <c r="F14" s="75">
        <v>0.8</v>
      </c>
      <c r="G14" s="76">
        <f t="shared" si="0"/>
        <v>8000000</v>
      </c>
      <c r="H14" s="76">
        <f>Inventory!I5*G4</f>
        <v>8400000000</v>
      </c>
      <c r="I14" s="72">
        <f t="shared" si="1"/>
        <v>42000</v>
      </c>
      <c r="J14" s="72">
        <v>40000000</v>
      </c>
      <c r="K14" s="72">
        <f t="shared" si="2"/>
        <v>42000</v>
      </c>
      <c r="L14" s="72"/>
      <c r="M14" s="16"/>
      <c r="N14" s="72"/>
      <c r="O14" s="72"/>
    </row>
    <row r="15" spans="1:15">
      <c r="A15" s="16">
        <f t="shared" si="3"/>
        <v>12</v>
      </c>
      <c r="B15" s="16" t="s">
        <v>395</v>
      </c>
      <c r="C15" s="16" t="s">
        <v>386</v>
      </c>
      <c r="D15" s="73">
        <v>10000000</v>
      </c>
      <c r="E15" s="16">
        <v>500</v>
      </c>
      <c r="F15" s="75">
        <v>0.8</v>
      </c>
      <c r="G15" s="76">
        <f t="shared" si="0"/>
        <v>8000000</v>
      </c>
      <c r="H15" s="76">
        <f>Inventory!I5*G4</f>
        <v>8400000000</v>
      </c>
      <c r="I15" s="72">
        <f t="shared" si="1"/>
        <v>42000</v>
      </c>
      <c r="J15" s="72">
        <v>40000000</v>
      </c>
      <c r="K15" s="72">
        <f t="shared" si="2"/>
        <v>42000</v>
      </c>
      <c r="L15" s="72"/>
      <c r="M15" s="16"/>
      <c r="N15" s="72"/>
      <c r="O15" s="72"/>
    </row>
    <row r="16" spans="1:15">
      <c r="A16" s="16">
        <f t="shared" si="3"/>
        <v>13</v>
      </c>
      <c r="B16" s="16" t="s">
        <v>395</v>
      </c>
      <c r="C16" s="16" t="s">
        <v>386</v>
      </c>
      <c r="D16" s="73">
        <v>10000000</v>
      </c>
      <c r="E16" s="16">
        <v>500</v>
      </c>
      <c r="F16" s="75">
        <v>0.8</v>
      </c>
      <c r="G16" s="76">
        <f t="shared" si="0"/>
        <v>8000000</v>
      </c>
      <c r="H16" s="76">
        <f>Inventory!I5*G4</f>
        <v>8400000000</v>
      </c>
      <c r="I16" s="72">
        <f t="shared" si="1"/>
        <v>42000</v>
      </c>
      <c r="J16" s="72">
        <v>40000000</v>
      </c>
      <c r="K16" s="72">
        <f t="shared" si="2"/>
        <v>42000</v>
      </c>
      <c r="L16" s="72"/>
      <c r="M16" s="16"/>
      <c r="N16" s="72"/>
      <c r="O16" s="72"/>
    </row>
    <row r="17" spans="1:15">
      <c r="A17" s="16">
        <f t="shared" si="3"/>
        <v>14</v>
      </c>
      <c r="B17" s="16" t="s">
        <v>399</v>
      </c>
      <c r="C17" s="16" t="s">
        <v>386</v>
      </c>
      <c r="D17" s="73">
        <v>10000000</v>
      </c>
      <c r="E17" s="16">
        <v>500</v>
      </c>
      <c r="F17" s="75">
        <v>0.8</v>
      </c>
      <c r="G17" s="76">
        <f t="shared" si="0"/>
        <v>8000000</v>
      </c>
      <c r="H17" s="76">
        <f>Inventory!I5*G4</f>
        <v>8400000000</v>
      </c>
      <c r="I17" s="72">
        <f t="shared" si="1"/>
        <v>42000</v>
      </c>
      <c r="J17" s="72">
        <v>40000000</v>
      </c>
      <c r="K17" s="72">
        <f t="shared" si="2"/>
        <v>42000</v>
      </c>
      <c r="L17" s="72"/>
      <c r="M17" s="16"/>
      <c r="N17" s="72"/>
      <c r="O17" s="72"/>
    </row>
    <row r="18" spans="1:15">
      <c r="A18" s="16">
        <f t="shared" si="3"/>
        <v>15</v>
      </c>
      <c r="B18" s="16" t="s">
        <v>395</v>
      </c>
      <c r="C18" s="16" t="s">
        <v>386</v>
      </c>
      <c r="D18" s="73">
        <v>10000000</v>
      </c>
      <c r="E18" s="16">
        <v>500</v>
      </c>
      <c r="F18" s="75">
        <v>0.8</v>
      </c>
      <c r="G18" s="76">
        <f t="shared" si="0"/>
        <v>8000000</v>
      </c>
      <c r="H18" s="76">
        <f>Inventory!I5*G4</f>
        <v>8400000000</v>
      </c>
      <c r="I18" s="72">
        <f t="shared" si="1"/>
        <v>42000</v>
      </c>
      <c r="J18" s="72">
        <v>40000000</v>
      </c>
      <c r="K18" s="72">
        <f t="shared" si="2"/>
        <v>42000</v>
      </c>
      <c r="L18" s="72"/>
      <c r="M18" s="16"/>
      <c r="N18" s="72"/>
      <c r="O18" s="72"/>
    </row>
    <row r="19" spans="1:15">
      <c r="A19" s="16">
        <f t="shared" si="3"/>
        <v>16</v>
      </c>
      <c r="B19" s="16" t="s">
        <v>395</v>
      </c>
      <c r="C19" s="16" t="s">
        <v>386</v>
      </c>
      <c r="D19" s="73">
        <v>10000000</v>
      </c>
      <c r="E19" s="16">
        <v>500</v>
      </c>
      <c r="F19" s="75">
        <v>0.8</v>
      </c>
      <c r="G19" s="76">
        <f t="shared" si="0"/>
        <v>8000000</v>
      </c>
      <c r="H19" s="76">
        <f>Inventory!I5*G4</f>
        <v>8400000000</v>
      </c>
      <c r="I19" s="72">
        <f t="shared" si="1"/>
        <v>42000</v>
      </c>
      <c r="J19" s="72">
        <v>40000000</v>
      </c>
      <c r="K19" s="72">
        <f t="shared" si="2"/>
        <v>42000</v>
      </c>
      <c r="L19" s="72"/>
      <c r="M19" s="16"/>
      <c r="N19" s="72"/>
      <c r="O19" s="72"/>
    </row>
    <row r="20" spans="1:15">
      <c r="A20" s="16">
        <f t="shared" si="3"/>
        <v>17</v>
      </c>
      <c r="B20" s="16" t="s">
        <v>395</v>
      </c>
      <c r="C20" s="16" t="s">
        <v>386</v>
      </c>
      <c r="D20" s="73">
        <v>10000000</v>
      </c>
      <c r="E20" s="16">
        <v>500</v>
      </c>
      <c r="F20" s="75">
        <v>0.8</v>
      </c>
      <c r="G20" s="76">
        <f t="shared" si="0"/>
        <v>8000000</v>
      </c>
      <c r="H20" s="76">
        <f>Inventory!I5*G4</f>
        <v>8400000000</v>
      </c>
      <c r="I20" s="72">
        <f t="shared" si="1"/>
        <v>42000</v>
      </c>
      <c r="J20" s="72">
        <v>40000000</v>
      </c>
      <c r="K20" s="72">
        <f t="shared" si="2"/>
        <v>42000</v>
      </c>
      <c r="L20" s="72"/>
      <c r="M20" s="16"/>
      <c r="N20" s="72"/>
      <c r="O20" s="72"/>
    </row>
    <row r="21" spans="1:15">
      <c r="A21" s="16">
        <f t="shared" si="3"/>
        <v>18</v>
      </c>
      <c r="B21" s="16" t="s">
        <v>395</v>
      </c>
      <c r="C21" s="16" t="s">
        <v>386</v>
      </c>
      <c r="D21" s="73">
        <v>10000000</v>
      </c>
      <c r="E21" s="16">
        <v>500</v>
      </c>
      <c r="F21" s="75">
        <v>0.8</v>
      </c>
      <c r="G21" s="76">
        <f t="shared" si="0"/>
        <v>8000000</v>
      </c>
      <c r="H21" s="76">
        <f>Inventory!I5*G4</f>
        <v>8400000000</v>
      </c>
      <c r="I21" s="72">
        <f t="shared" si="1"/>
        <v>42000</v>
      </c>
      <c r="J21" s="72">
        <v>40000000</v>
      </c>
      <c r="K21" s="72">
        <f t="shared" si="2"/>
        <v>42000</v>
      </c>
      <c r="L21" s="72"/>
      <c r="M21" s="16"/>
      <c r="N21" s="72"/>
      <c r="O21" s="72"/>
    </row>
    <row r="22" spans="1:15">
      <c r="A22" s="16">
        <f t="shared" si="3"/>
        <v>19</v>
      </c>
      <c r="B22" s="16" t="s">
        <v>395</v>
      </c>
      <c r="C22" s="16" t="s">
        <v>386</v>
      </c>
      <c r="D22" s="73">
        <v>10000000</v>
      </c>
      <c r="E22" s="16">
        <v>500</v>
      </c>
      <c r="F22" s="75">
        <v>0.8</v>
      </c>
      <c r="G22" s="76">
        <f t="shared" si="0"/>
        <v>8000000</v>
      </c>
      <c r="H22" s="76">
        <f>Inventory!I5*G4</f>
        <v>8400000000</v>
      </c>
      <c r="I22" s="72">
        <f t="shared" si="1"/>
        <v>42000</v>
      </c>
      <c r="J22" s="72">
        <v>40000000</v>
      </c>
      <c r="K22" s="72">
        <f t="shared" si="2"/>
        <v>42000</v>
      </c>
      <c r="L22" s="72"/>
      <c r="M22" s="16"/>
      <c r="N22" s="72"/>
      <c r="O22" s="72"/>
    </row>
    <row r="23" spans="1:15">
      <c r="A23" s="16">
        <f t="shared" si="3"/>
        <v>20</v>
      </c>
      <c r="B23" s="16" t="s">
        <v>395</v>
      </c>
      <c r="C23" s="16" t="s">
        <v>386</v>
      </c>
      <c r="D23" s="73">
        <v>10000000</v>
      </c>
      <c r="E23" s="16">
        <v>500</v>
      </c>
      <c r="F23" s="75">
        <v>0.8</v>
      </c>
      <c r="G23" s="76">
        <f t="shared" si="0"/>
        <v>8000000</v>
      </c>
      <c r="H23" s="76">
        <f>Inventory!I5*G4</f>
        <v>8400000000</v>
      </c>
      <c r="I23" s="72">
        <f>(E23)*(84)</f>
        <v>42000</v>
      </c>
      <c r="J23" s="72">
        <v>40000000</v>
      </c>
      <c r="K23" s="72">
        <f t="shared" si="2"/>
        <v>42000</v>
      </c>
      <c r="L23" s="72"/>
      <c r="M23" s="16"/>
      <c r="N23" s="72"/>
      <c r="O23" s="72"/>
    </row>
    <row r="24" spans="1:15">
      <c r="A24" s="16">
        <v>21</v>
      </c>
      <c r="B24" s="16" t="s">
        <v>394</v>
      </c>
      <c r="C24" s="16" t="s">
        <v>386</v>
      </c>
      <c r="D24" s="73">
        <v>10000000</v>
      </c>
      <c r="E24" s="16">
        <v>500</v>
      </c>
      <c r="F24" s="75">
        <v>0.8</v>
      </c>
      <c r="G24" s="76">
        <f t="shared" si="0"/>
        <v>8000000</v>
      </c>
      <c r="H24" s="76">
        <f>Inventory!I5*G4</f>
        <v>8400000000</v>
      </c>
      <c r="I24" s="72">
        <f>(E24)*(84)</f>
        <v>42000</v>
      </c>
      <c r="J24" s="72">
        <v>40000000</v>
      </c>
      <c r="K24" s="72">
        <f t="shared" si="2"/>
        <v>42000</v>
      </c>
      <c r="L24" s="72"/>
      <c r="M24" s="16"/>
      <c r="N24" s="72"/>
      <c r="O24" s="72"/>
    </row>
    <row r="25" spans="1:15">
      <c r="A25" s="16">
        <v>22</v>
      </c>
      <c r="B25" s="16" t="s">
        <v>395</v>
      </c>
      <c r="C25" s="16" t="s">
        <v>386</v>
      </c>
      <c r="D25" s="73">
        <v>10000000</v>
      </c>
      <c r="E25" s="16">
        <v>500</v>
      </c>
      <c r="F25" s="75">
        <v>0.8</v>
      </c>
      <c r="G25" s="76">
        <f t="shared" si="0"/>
        <v>8000000</v>
      </c>
      <c r="H25" s="76">
        <f>Inventory!I5*G4</f>
        <v>8400000000</v>
      </c>
      <c r="I25" s="72">
        <f t="shared" ref="I25:I31" si="4">(E25)*(84)</f>
        <v>42000</v>
      </c>
      <c r="J25" s="72">
        <v>40000000</v>
      </c>
      <c r="K25" s="72">
        <f t="shared" si="2"/>
        <v>42000</v>
      </c>
      <c r="L25" s="72"/>
      <c r="M25" s="16"/>
      <c r="N25" s="72"/>
      <c r="O25" s="72"/>
    </row>
    <row r="26" spans="1:15">
      <c r="A26" s="16">
        <v>23</v>
      </c>
      <c r="B26" s="16" t="s">
        <v>395</v>
      </c>
      <c r="C26" s="16" t="s">
        <v>386</v>
      </c>
      <c r="D26" s="73">
        <v>10000000</v>
      </c>
      <c r="E26" s="16">
        <v>500</v>
      </c>
      <c r="F26" s="75">
        <v>0.8</v>
      </c>
      <c r="G26" s="76">
        <f t="shared" si="0"/>
        <v>8000000</v>
      </c>
      <c r="H26" s="76">
        <f>Inventory!I5*G4</f>
        <v>8400000000</v>
      </c>
      <c r="I26" s="72">
        <f t="shared" si="4"/>
        <v>42000</v>
      </c>
      <c r="J26" s="72">
        <v>40000000</v>
      </c>
      <c r="K26" s="72">
        <f t="shared" si="2"/>
        <v>42000</v>
      </c>
      <c r="L26" s="72"/>
      <c r="M26" s="16"/>
      <c r="N26" s="72"/>
      <c r="O26" s="72"/>
    </row>
    <row r="27" spans="1:15">
      <c r="A27" s="16">
        <v>24</v>
      </c>
      <c r="B27" s="16" t="s">
        <v>395</v>
      </c>
      <c r="C27" s="16" t="s">
        <v>386</v>
      </c>
      <c r="D27" s="73">
        <v>10000000</v>
      </c>
      <c r="E27" s="16">
        <v>500</v>
      </c>
      <c r="F27" s="75">
        <v>0.8</v>
      </c>
      <c r="G27" s="76">
        <f t="shared" si="0"/>
        <v>8000000</v>
      </c>
      <c r="H27" s="76">
        <f>Inventory!I5*G4</f>
        <v>8400000000</v>
      </c>
      <c r="I27" s="72">
        <f t="shared" si="4"/>
        <v>42000</v>
      </c>
      <c r="J27" s="72">
        <v>40000000</v>
      </c>
      <c r="K27" s="72">
        <f t="shared" si="2"/>
        <v>42000</v>
      </c>
      <c r="L27" s="72"/>
      <c r="M27" s="16"/>
      <c r="N27" s="72"/>
      <c r="O27" s="72"/>
    </row>
    <row r="28" spans="1:15">
      <c r="A28" s="16">
        <v>25</v>
      </c>
      <c r="B28" s="16" t="s">
        <v>395</v>
      </c>
      <c r="C28" s="16" t="s">
        <v>386</v>
      </c>
      <c r="D28" s="73">
        <v>10000000</v>
      </c>
      <c r="E28" s="16">
        <v>500</v>
      </c>
      <c r="F28" s="75">
        <v>0.8</v>
      </c>
      <c r="G28" s="76">
        <f t="shared" si="0"/>
        <v>8000000</v>
      </c>
      <c r="H28" s="76">
        <f>Inventory!I5*G4</f>
        <v>8400000000</v>
      </c>
      <c r="I28" s="72">
        <f t="shared" si="4"/>
        <v>42000</v>
      </c>
      <c r="J28" s="72">
        <v>40000000</v>
      </c>
      <c r="K28" s="72">
        <f t="shared" si="2"/>
        <v>42000</v>
      </c>
      <c r="L28" s="72"/>
      <c r="M28" s="16"/>
      <c r="N28" s="72"/>
      <c r="O28" s="72"/>
    </row>
    <row r="29" spans="1:15">
      <c r="A29" s="16">
        <v>26</v>
      </c>
      <c r="B29" s="16" t="s">
        <v>395</v>
      </c>
      <c r="C29" s="16" t="s">
        <v>386</v>
      </c>
      <c r="D29" s="73">
        <v>10000000</v>
      </c>
      <c r="E29" s="16">
        <v>500</v>
      </c>
      <c r="F29" s="75">
        <v>0.8</v>
      </c>
      <c r="G29" s="76">
        <f t="shared" si="0"/>
        <v>8000000</v>
      </c>
      <c r="H29" s="76">
        <f>Inventory!I5*G4</f>
        <v>8400000000</v>
      </c>
      <c r="I29" s="72">
        <f t="shared" si="4"/>
        <v>42000</v>
      </c>
      <c r="J29" s="72">
        <v>40000000</v>
      </c>
      <c r="K29" s="72">
        <f t="shared" si="2"/>
        <v>42000</v>
      </c>
      <c r="L29" s="72"/>
      <c r="M29" s="16"/>
      <c r="N29" s="72"/>
      <c r="O29" s="72"/>
    </row>
    <row r="30" spans="1:15">
      <c r="A30" s="16">
        <v>27</v>
      </c>
      <c r="B30" s="16" t="s">
        <v>395</v>
      </c>
      <c r="C30" s="16" t="s">
        <v>386</v>
      </c>
      <c r="D30" s="73">
        <v>10000000</v>
      </c>
      <c r="E30" s="16">
        <v>500</v>
      </c>
      <c r="F30" s="75">
        <v>0.8</v>
      </c>
      <c r="G30" s="76">
        <f t="shared" si="0"/>
        <v>8000000</v>
      </c>
      <c r="H30" s="76">
        <f>Inventory!I5*G4</f>
        <v>8400000000</v>
      </c>
      <c r="I30" s="72">
        <f t="shared" si="4"/>
        <v>42000</v>
      </c>
      <c r="J30" s="72">
        <v>40000000</v>
      </c>
      <c r="K30" s="72">
        <f t="shared" si="2"/>
        <v>42000</v>
      </c>
      <c r="L30" s="72"/>
      <c r="M30" s="16"/>
      <c r="N30" s="72"/>
      <c r="O30" s="72"/>
    </row>
    <row r="31" spans="1:15">
      <c r="A31" s="16">
        <v>28</v>
      </c>
      <c r="B31" s="16" t="s">
        <v>395</v>
      </c>
      <c r="C31" s="16" t="s">
        <v>386</v>
      </c>
      <c r="D31" s="73">
        <v>10000000</v>
      </c>
      <c r="E31" s="16">
        <v>500</v>
      </c>
      <c r="F31" s="75">
        <v>0.8</v>
      </c>
      <c r="G31" s="76">
        <f t="shared" si="0"/>
        <v>8000000</v>
      </c>
      <c r="H31" s="76">
        <f>Inventory!I5*G4</f>
        <v>8400000000</v>
      </c>
      <c r="I31" s="72">
        <f t="shared" si="4"/>
        <v>42000</v>
      </c>
      <c r="J31" s="72">
        <v>40000000</v>
      </c>
      <c r="K31" s="72">
        <f t="shared" si="2"/>
        <v>42000</v>
      </c>
      <c r="L31" s="72"/>
      <c r="M31" s="16"/>
      <c r="N31" s="72"/>
      <c r="O31" s="72"/>
    </row>
    <row r="32" spans="1:15">
      <c r="A32" s="16">
        <v>29</v>
      </c>
      <c r="B32" s="16" t="s">
        <v>395</v>
      </c>
      <c r="C32" s="16" t="s">
        <v>386</v>
      </c>
      <c r="D32" s="73">
        <v>10000000</v>
      </c>
      <c r="E32" s="16">
        <v>500</v>
      </c>
      <c r="F32" s="75">
        <v>0.8</v>
      </c>
      <c r="G32" s="76">
        <f t="shared" ref="G32:G36" si="5">D32*F32</f>
        <v>8000000</v>
      </c>
      <c r="H32" s="76">
        <f>Inventory!I5*G6</f>
        <v>8400000000</v>
      </c>
      <c r="I32" s="72">
        <f t="shared" ref="I32:I36" si="6">(E32)*(84)</f>
        <v>42000</v>
      </c>
      <c r="J32" s="72">
        <v>40000000</v>
      </c>
      <c r="K32" s="72">
        <f t="shared" ref="K32:K36" si="7">(I32)</f>
        <v>42000</v>
      </c>
      <c r="L32" s="72"/>
      <c r="M32" s="16"/>
      <c r="N32" s="72"/>
      <c r="O32" s="72"/>
    </row>
    <row r="33" spans="1:15">
      <c r="A33" s="16">
        <v>30</v>
      </c>
      <c r="B33" s="16" t="s">
        <v>395</v>
      </c>
      <c r="C33" s="16" t="s">
        <v>386</v>
      </c>
      <c r="D33" s="73">
        <v>10000000</v>
      </c>
      <c r="E33" s="16">
        <v>500</v>
      </c>
      <c r="F33" s="75">
        <v>0.8</v>
      </c>
      <c r="G33" s="76">
        <f t="shared" si="5"/>
        <v>8000000</v>
      </c>
      <c r="H33" s="76">
        <f>Inventory!I5*G6</f>
        <v>8400000000</v>
      </c>
      <c r="I33" s="72">
        <f t="shared" si="6"/>
        <v>42000</v>
      </c>
      <c r="J33" s="72">
        <v>40000000</v>
      </c>
      <c r="K33" s="72">
        <f t="shared" si="7"/>
        <v>42000</v>
      </c>
      <c r="L33" s="72"/>
      <c r="M33" s="16"/>
      <c r="N33" s="72"/>
      <c r="O33" s="72"/>
    </row>
    <row r="34" spans="1:15">
      <c r="A34" s="16">
        <v>31</v>
      </c>
      <c r="B34" s="16" t="s">
        <v>395</v>
      </c>
      <c r="C34" s="16" t="s">
        <v>386</v>
      </c>
      <c r="D34" s="73">
        <v>10000000</v>
      </c>
      <c r="E34" s="16">
        <v>500</v>
      </c>
      <c r="F34" s="75">
        <v>0.8</v>
      </c>
      <c r="G34" s="76">
        <f t="shared" si="5"/>
        <v>8000000</v>
      </c>
      <c r="H34" s="76">
        <f>Inventory!I5*G9</f>
        <v>8400000000</v>
      </c>
      <c r="I34" s="72">
        <f t="shared" si="6"/>
        <v>42000</v>
      </c>
      <c r="J34" s="72">
        <v>40000000</v>
      </c>
      <c r="K34" s="72">
        <f t="shared" si="7"/>
        <v>42000</v>
      </c>
      <c r="L34" s="72"/>
      <c r="M34" s="16"/>
      <c r="N34" s="72"/>
      <c r="O34" s="72"/>
    </row>
    <row r="35" spans="1:15">
      <c r="A35" s="16">
        <v>32</v>
      </c>
      <c r="B35" s="16" t="s">
        <v>395</v>
      </c>
      <c r="C35" s="16" t="s">
        <v>386</v>
      </c>
      <c r="D35" s="73">
        <v>10000000</v>
      </c>
      <c r="E35" s="16">
        <v>500</v>
      </c>
      <c r="F35" s="75">
        <v>0.8</v>
      </c>
      <c r="G35" s="76">
        <f t="shared" si="5"/>
        <v>8000000</v>
      </c>
      <c r="H35" s="76">
        <f>Inventory!I5*G9</f>
        <v>8400000000</v>
      </c>
      <c r="I35" s="72">
        <f t="shared" si="6"/>
        <v>42000</v>
      </c>
      <c r="J35" s="72">
        <v>40000000</v>
      </c>
      <c r="K35" s="72">
        <f t="shared" si="7"/>
        <v>42000</v>
      </c>
      <c r="L35" s="72"/>
      <c r="M35" s="16"/>
      <c r="N35" s="72"/>
      <c r="O35" s="72"/>
    </row>
    <row r="36" spans="1:15">
      <c r="A36" s="16">
        <v>33</v>
      </c>
      <c r="B36" s="16" t="s">
        <v>395</v>
      </c>
      <c r="C36" s="16" t="s">
        <v>386</v>
      </c>
      <c r="D36" s="73">
        <v>10000000</v>
      </c>
      <c r="E36" s="16">
        <v>500</v>
      </c>
      <c r="F36" s="75">
        <v>0.8</v>
      </c>
      <c r="G36" s="76">
        <f t="shared" si="5"/>
        <v>8000000</v>
      </c>
      <c r="H36" s="76">
        <f>Inventory!I5*G9</f>
        <v>8400000000</v>
      </c>
      <c r="I36" s="72">
        <f t="shared" si="6"/>
        <v>42000</v>
      </c>
      <c r="J36" s="72">
        <v>40000000</v>
      </c>
      <c r="K36" s="72">
        <f t="shared" si="7"/>
        <v>42000</v>
      </c>
      <c r="L36" s="72"/>
      <c r="M36" s="16"/>
      <c r="N36" s="72"/>
      <c r="O36" s="72"/>
    </row>
    <row r="37" spans="1:15">
      <c r="A37" s="16">
        <v>34</v>
      </c>
      <c r="B37" s="16" t="s">
        <v>395</v>
      </c>
      <c r="C37" s="16" t="s">
        <v>386</v>
      </c>
      <c r="D37" s="73">
        <v>10000000</v>
      </c>
      <c r="E37" s="16">
        <v>500</v>
      </c>
      <c r="F37" s="75">
        <v>0.8</v>
      </c>
      <c r="G37" s="76">
        <f t="shared" ref="G37:G41" si="8">D37*F37</f>
        <v>8000000</v>
      </c>
      <c r="H37" s="76">
        <f>Inventory!I5*G11</f>
        <v>8400000000</v>
      </c>
      <c r="I37" s="72">
        <f t="shared" ref="I37:I41" si="9">(E37)*(84)</f>
        <v>42000</v>
      </c>
      <c r="J37" s="72">
        <v>40000000</v>
      </c>
      <c r="K37" s="72">
        <f t="shared" ref="K37:K41" si="10">(I37)</f>
        <v>42000</v>
      </c>
      <c r="L37" s="72"/>
      <c r="M37" s="16"/>
      <c r="N37" s="72"/>
      <c r="O37" s="72"/>
    </row>
    <row r="38" spans="1:15">
      <c r="A38" s="16">
        <v>35</v>
      </c>
      <c r="B38" s="16" t="s">
        <v>395</v>
      </c>
      <c r="C38" s="16" t="s">
        <v>386</v>
      </c>
      <c r="D38" s="73">
        <v>10000000</v>
      </c>
      <c r="E38" s="16">
        <v>500</v>
      </c>
      <c r="F38" s="75">
        <v>0.8</v>
      </c>
      <c r="G38" s="76">
        <f t="shared" si="8"/>
        <v>8000000</v>
      </c>
      <c r="H38" s="76">
        <f>Inventory!I5*G11</f>
        <v>8400000000</v>
      </c>
      <c r="I38" s="72">
        <f t="shared" si="9"/>
        <v>42000</v>
      </c>
      <c r="J38" s="72">
        <v>40000000</v>
      </c>
      <c r="K38" s="72">
        <f t="shared" si="10"/>
        <v>42000</v>
      </c>
      <c r="L38" s="72"/>
      <c r="M38" s="16"/>
      <c r="N38" s="72"/>
      <c r="O38" s="72"/>
    </row>
    <row r="39" spans="1:15">
      <c r="A39" s="16">
        <v>31</v>
      </c>
      <c r="B39" s="16" t="s">
        <v>395</v>
      </c>
      <c r="C39" s="16" t="s">
        <v>386</v>
      </c>
      <c r="D39" s="73">
        <v>10000000</v>
      </c>
      <c r="E39" s="16">
        <v>500</v>
      </c>
      <c r="F39" s="75">
        <v>0.8</v>
      </c>
      <c r="G39" s="76">
        <f t="shared" si="8"/>
        <v>8000000</v>
      </c>
      <c r="H39" s="76">
        <f>Inventory!I5*G14</f>
        <v>8400000000</v>
      </c>
      <c r="I39" s="72">
        <f t="shared" si="9"/>
        <v>42000</v>
      </c>
      <c r="J39" s="72">
        <v>40000000</v>
      </c>
      <c r="K39" s="72">
        <f t="shared" si="10"/>
        <v>42000</v>
      </c>
      <c r="L39" s="72"/>
      <c r="M39" s="16"/>
      <c r="N39" s="72"/>
      <c r="O39" s="72"/>
    </row>
    <row r="40" spans="1:15">
      <c r="A40" s="16">
        <v>32</v>
      </c>
      <c r="B40" s="16" t="s">
        <v>395</v>
      </c>
      <c r="C40" s="16" t="s">
        <v>386</v>
      </c>
      <c r="D40" s="73">
        <v>10000000</v>
      </c>
      <c r="E40" s="16">
        <v>500</v>
      </c>
      <c r="F40" s="75">
        <v>0.8</v>
      </c>
      <c r="G40" s="76">
        <f t="shared" si="8"/>
        <v>8000000</v>
      </c>
      <c r="H40" s="76">
        <f>Inventory!I5*G14</f>
        <v>8400000000</v>
      </c>
      <c r="I40" s="72">
        <f t="shared" si="9"/>
        <v>42000</v>
      </c>
      <c r="J40" s="72">
        <v>40000000</v>
      </c>
      <c r="K40" s="72">
        <f t="shared" si="10"/>
        <v>42000</v>
      </c>
      <c r="L40" s="72"/>
      <c r="M40" s="16"/>
      <c r="N40" s="72"/>
      <c r="O40" s="72"/>
    </row>
    <row r="41" spans="1:15">
      <c r="A41" s="16">
        <v>33</v>
      </c>
      <c r="B41" s="16" t="s">
        <v>395</v>
      </c>
      <c r="C41" s="16" t="s">
        <v>386</v>
      </c>
      <c r="D41" s="73">
        <v>10000000</v>
      </c>
      <c r="E41" s="16">
        <v>500</v>
      </c>
      <c r="F41" s="75">
        <v>0.8</v>
      </c>
      <c r="G41" s="76">
        <f t="shared" si="8"/>
        <v>8000000</v>
      </c>
      <c r="H41" s="76">
        <f>Inventory!I5*G14</f>
        <v>8400000000</v>
      </c>
      <c r="I41" s="72">
        <f t="shared" si="9"/>
        <v>42000</v>
      </c>
      <c r="J41" s="72">
        <v>40000000</v>
      </c>
      <c r="K41" s="72">
        <f t="shared" si="10"/>
        <v>42000</v>
      </c>
      <c r="L41" s="72"/>
      <c r="M41" s="16"/>
      <c r="N41" s="72"/>
      <c r="O41" s="72"/>
    </row>
    <row r="42" spans="1:15">
      <c r="A42" s="16">
        <v>34</v>
      </c>
      <c r="B42" s="16" t="s">
        <v>395</v>
      </c>
      <c r="C42" s="16" t="s">
        <v>386</v>
      </c>
      <c r="D42" s="73">
        <v>10000000</v>
      </c>
      <c r="E42" s="16">
        <v>500</v>
      </c>
      <c r="F42" s="75">
        <v>0.8</v>
      </c>
      <c r="G42" s="76">
        <f t="shared" ref="G42:G46" si="11">D42*F42</f>
        <v>8000000</v>
      </c>
      <c r="H42" s="76">
        <f>Inventory!I5*G16</f>
        <v>8400000000</v>
      </c>
      <c r="I42" s="72">
        <f t="shared" ref="I42:I46" si="12">(E42)*(84)</f>
        <v>42000</v>
      </c>
      <c r="J42" s="72">
        <v>40000000</v>
      </c>
      <c r="K42" s="72">
        <f t="shared" ref="K42:K46" si="13">(I42)</f>
        <v>42000</v>
      </c>
      <c r="L42" s="72"/>
      <c r="M42" s="16"/>
      <c r="N42" s="72"/>
      <c r="O42" s="72"/>
    </row>
    <row r="43" spans="1:15">
      <c r="A43" s="16">
        <v>35</v>
      </c>
      <c r="B43" s="16" t="s">
        <v>395</v>
      </c>
      <c r="C43" s="16" t="s">
        <v>386</v>
      </c>
      <c r="D43" s="73">
        <v>10000000</v>
      </c>
      <c r="E43" s="16">
        <v>500</v>
      </c>
      <c r="F43" s="75">
        <v>0.8</v>
      </c>
      <c r="G43" s="76">
        <f t="shared" si="11"/>
        <v>8000000</v>
      </c>
      <c r="H43" s="76">
        <f>Inventory!I5*G16</f>
        <v>8400000000</v>
      </c>
      <c r="I43" s="72">
        <f t="shared" si="12"/>
        <v>42000</v>
      </c>
      <c r="J43" s="72">
        <v>40000000</v>
      </c>
      <c r="K43" s="72">
        <f t="shared" si="13"/>
        <v>42000</v>
      </c>
      <c r="L43" s="72"/>
      <c r="M43" s="16"/>
      <c r="N43" s="72"/>
      <c r="O43" s="72"/>
    </row>
    <row r="44" spans="1:15">
      <c r="A44" s="16">
        <v>31</v>
      </c>
      <c r="B44" s="16" t="s">
        <v>395</v>
      </c>
      <c r="C44" s="16" t="s">
        <v>386</v>
      </c>
      <c r="D44" s="73">
        <v>10000000</v>
      </c>
      <c r="E44" s="16">
        <v>500</v>
      </c>
      <c r="F44" s="75">
        <v>0.8</v>
      </c>
      <c r="G44" s="76">
        <f t="shared" si="11"/>
        <v>8000000</v>
      </c>
      <c r="H44" s="76">
        <f>Inventory!I5*G19</f>
        <v>8400000000</v>
      </c>
      <c r="I44" s="72">
        <f t="shared" si="12"/>
        <v>42000</v>
      </c>
      <c r="J44" s="72">
        <v>40000000</v>
      </c>
      <c r="K44" s="72">
        <f t="shared" si="13"/>
        <v>42000</v>
      </c>
      <c r="L44" s="72"/>
      <c r="M44" s="16"/>
      <c r="N44" s="72"/>
      <c r="O44" s="72"/>
    </row>
    <row r="45" spans="1:15">
      <c r="A45" s="16">
        <v>32</v>
      </c>
      <c r="B45" s="16" t="s">
        <v>395</v>
      </c>
      <c r="C45" s="16" t="s">
        <v>386</v>
      </c>
      <c r="D45" s="73">
        <v>10000000</v>
      </c>
      <c r="E45" s="16">
        <v>500</v>
      </c>
      <c r="F45" s="75">
        <v>0.8</v>
      </c>
      <c r="G45" s="76">
        <f t="shared" si="11"/>
        <v>8000000</v>
      </c>
      <c r="H45" s="76">
        <f>Inventory!I5*G19</f>
        <v>8400000000</v>
      </c>
      <c r="I45" s="72">
        <f t="shared" si="12"/>
        <v>42000</v>
      </c>
      <c r="J45" s="72">
        <v>40000000</v>
      </c>
      <c r="K45" s="72">
        <f t="shared" si="13"/>
        <v>42000</v>
      </c>
      <c r="L45" s="72"/>
      <c r="M45" s="16"/>
      <c r="N45" s="72"/>
      <c r="O45" s="72"/>
    </row>
    <row r="46" spans="1:15">
      <c r="A46" s="16">
        <v>33</v>
      </c>
      <c r="B46" s="16" t="s">
        <v>395</v>
      </c>
      <c r="C46" s="16" t="s">
        <v>386</v>
      </c>
      <c r="D46" s="73">
        <v>10000000</v>
      </c>
      <c r="E46" s="16">
        <v>500</v>
      </c>
      <c r="F46" s="75">
        <v>0.8</v>
      </c>
      <c r="G46" s="76">
        <f t="shared" si="11"/>
        <v>8000000</v>
      </c>
      <c r="H46" s="76">
        <f>Inventory!I5*G19</f>
        <v>8400000000</v>
      </c>
      <c r="I46" s="72">
        <f t="shared" si="12"/>
        <v>42000</v>
      </c>
      <c r="J46" s="72">
        <v>40000000</v>
      </c>
      <c r="K46" s="72">
        <f t="shared" si="13"/>
        <v>42000</v>
      </c>
      <c r="L46" s="72"/>
      <c r="M46" s="16"/>
      <c r="N46" s="72"/>
      <c r="O46" s="72"/>
    </row>
    <row r="47" spans="1:15">
      <c r="A47" s="16">
        <v>34</v>
      </c>
      <c r="B47" s="16" t="s">
        <v>395</v>
      </c>
      <c r="C47" s="16" t="s">
        <v>386</v>
      </c>
      <c r="D47" s="73">
        <v>10000000</v>
      </c>
      <c r="E47" s="16">
        <v>500</v>
      </c>
      <c r="F47" s="75">
        <v>0.8</v>
      </c>
      <c r="G47" s="76">
        <f t="shared" ref="G47:G48" si="14">D47*F47</f>
        <v>8000000</v>
      </c>
      <c r="H47" s="76">
        <f>Inventory!I5*G21</f>
        <v>8400000000</v>
      </c>
      <c r="I47" s="72">
        <f t="shared" ref="I47:I48" si="15">(E47)*(84)</f>
        <v>42000</v>
      </c>
      <c r="J47" s="72">
        <v>40000000</v>
      </c>
      <c r="K47" s="72">
        <f t="shared" ref="K47:K48" si="16">(I47)</f>
        <v>42000</v>
      </c>
      <c r="L47" s="72"/>
      <c r="M47" s="16"/>
      <c r="N47" s="72"/>
      <c r="O47" s="72"/>
    </row>
    <row r="48" spans="1:15">
      <c r="A48" s="16">
        <v>35</v>
      </c>
      <c r="B48" s="16" t="s">
        <v>395</v>
      </c>
      <c r="C48" s="16" t="s">
        <v>386</v>
      </c>
      <c r="D48" s="73">
        <v>10000000</v>
      </c>
      <c r="E48" s="16">
        <v>500</v>
      </c>
      <c r="F48" s="75">
        <v>0.8</v>
      </c>
      <c r="G48" s="76">
        <f t="shared" si="14"/>
        <v>8000000</v>
      </c>
      <c r="H48" s="76">
        <f>Inventory!I5*G21</f>
        <v>8400000000</v>
      </c>
      <c r="I48" s="72">
        <f t="shared" si="15"/>
        <v>42000</v>
      </c>
      <c r="J48" s="72">
        <v>40000000</v>
      </c>
      <c r="K48" s="72">
        <f t="shared" si="16"/>
        <v>42000</v>
      </c>
      <c r="L48" s="72"/>
      <c r="M48" s="16"/>
      <c r="N48" s="72"/>
      <c r="O48" s="72"/>
    </row>
    <row r="49" spans="1:15">
      <c r="A49" s="16"/>
      <c r="B49" s="16"/>
      <c r="C49" s="16"/>
      <c r="D49" s="73"/>
      <c r="E49" s="16"/>
      <c r="F49" s="75"/>
      <c r="G49" s="76"/>
      <c r="H49" s="76"/>
      <c r="I49" s="72"/>
      <c r="J49" s="72"/>
      <c r="K49" s="72"/>
      <c r="L49" s="72"/>
      <c r="M49" s="16"/>
      <c r="N49" s="72"/>
      <c r="O49" s="72"/>
    </row>
    <row r="50" spans="1:15">
      <c r="A50" s="16"/>
      <c r="B50" s="16"/>
      <c r="C50" s="16"/>
      <c r="D50" s="73"/>
      <c r="E50" s="16"/>
      <c r="F50" s="16"/>
      <c r="G50" s="16"/>
      <c r="H50" s="16"/>
      <c r="I50" s="72"/>
      <c r="J50" s="72"/>
      <c r="K50" s="72"/>
      <c r="L50" s="72"/>
      <c r="M50" s="16"/>
      <c r="N50" s="72"/>
      <c r="O50" s="72"/>
    </row>
    <row r="51" spans="1:15" ht="17">
      <c r="A51" s="17" t="s">
        <v>21</v>
      </c>
      <c r="B51" s="16"/>
      <c r="C51" s="16"/>
      <c r="D51" s="73">
        <f>SUM(D4:D50)</f>
        <v>450000000</v>
      </c>
      <c r="E51" s="71">
        <f>SUM(E4:E50)</f>
        <v>22500</v>
      </c>
      <c r="F51" s="71"/>
      <c r="G51" s="71">
        <f>SUM(G4:G50)</f>
        <v>360000000</v>
      </c>
      <c r="H51" s="71">
        <f>SUM(H4:H50)</f>
        <v>378000000000</v>
      </c>
      <c r="I51" s="72"/>
      <c r="J51" s="72"/>
      <c r="K51" s="72"/>
      <c r="L51" s="72"/>
      <c r="M51" s="16"/>
      <c r="N51" s="72"/>
      <c r="O51" s="72"/>
    </row>
    <row r="52" spans="1:15">
      <c r="D52" s="74"/>
    </row>
    <row r="53" spans="1:15">
      <c r="D53" s="74"/>
    </row>
    <row r="54" spans="1:15">
      <c r="D54" s="74"/>
    </row>
    <row r="55" spans="1:15">
      <c r="D55" s="74"/>
    </row>
    <row r="56" spans="1:15">
      <c r="D56" s="74"/>
    </row>
    <row r="57" spans="1:15">
      <c r="D57" s="74"/>
    </row>
    <row r="58" spans="1:15">
      <c r="D58" s="74"/>
    </row>
    <row r="59" spans="1:15">
      <c r="D59" s="74"/>
    </row>
    <row r="60" spans="1:15">
      <c r="D60" s="74"/>
    </row>
    <row r="61" spans="1:15">
      <c r="D61" s="74"/>
    </row>
    <row r="62" spans="1:15">
      <c r="D62" s="74"/>
    </row>
    <row r="63" spans="1:15">
      <c r="D63" s="74"/>
    </row>
    <row r="64" spans="1:15">
      <c r="D64" s="74"/>
    </row>
    <row r="65" spans="4:4">
      <c r="D65" s="74"/>
    </row>
    <row r="66" spans="4:4">
      <c r="D66" s="74"/>
    </row>
    <row r="67" spans="4:4">
      <c r="D67" s="74"/>
    </row>
    <row r="68" spans="4:4">
      <c r="D68" s="74"/>
    </row>
    <row r="69" spans="4:4">
      <c r="D69" s="74"/>
    </row>
    <row r="70" spans="4:4">
      <c r="D70" s="74"/>
    </row>
    <row r="71" spans="4:4">
      <c r="D71" s="74"/>
    </row>
    <row r="72" spans="4:4">
      <c r="D72" s="74"/>
    </row>
    <row r="73" spans="4:4">
      <c r="D73" s="74"/>
    </row>
    <row r="74" spans="4:4">
      <c r="D74" s="74"/>
    </row>
    <row r="75" spans="4:4">
      <c r="D75" s="74"/>
    </row>
    <row r="76" spans="4:4">
      <c r="D76" s="74"/>
    </row>
    <row r="77" spans="4:4">
      <c r="D77" s="74"/>
    </row>
    <row r="78" spans="4:4">
      <c r="D78" s="74"/>
    </row>
    <row r="79" spans="4:4">
      <c r="D79" s="74"/>
    </row>
    <row r="80" spans="4:4">
      <c r="D80" s="74"/>
    </row>
    <row r="81" spans="4:4">
      <c r="D81" s="74"/>
    </row>
  </sheetData>
  <sheetCalcPr fullCalcOnLoad="1"/>
  <mergeCells count="1">
    <mergeCell ref="J1:K1"/>
  </mergeCells>
  <phoneticPr fontId="15" type="noConversion"/>
  <pageMargins left="0.75" right="0.75" top="1" bottom="1" header="0.5" footer="0.5"/>
  <colBreaks count="1" manualBreakCount="1">
    <brk id="23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K19"/>
  <sheetViews>
    <sheetView workbookViewId="0">
      <selection activeCell="I29" sqref="I29"/>
    </sheetView>
  </sheetViews>
  <sheetFormatPr baseColWidth="10" defaultColWidth="8.83203125" defaultRowHeight="12"/>
  <cols>
    <col min="1" max="2" width="14.5" bestFit="1" customWidth="1"/>
    <col min="3" max="3" width="23.1640625" bestFit="1" customWidth="1"/>
    <col min="4" max="4" width="9.5" bestFit="1" customWidth="1"/>
    <col min="5" max="5" width="20.1640625" bestFit="1" customWidth="1"/>
    <col min="6" max="6" width="7.5" style="14" bestFit="1" customWidth="1"/>
    <col min="7" max="7" width="7.5" style="14" customWidth="1"/>
    <col min="8" max="8" width="10.83203125" style="29" bestFit="1" customWidth="1"/>
    <col min="9" max="9" width="10.33203125" style="27" bestFit="1" customWidth="1"/>
    <col min="10" max="10" width="13.5" style="14" bestFit="1" customWidth="1"/>
    <col min="11" max="11" width="18.5" style="14" bestFit="1" customWidth="1"/>
  </cols>
  <sheetData>
    <row r="2" spans="1:11" s="21" customFormat="1" ht="15">
      <c r="A2" s="21" t="s">
        <v>60</v>
      </c>
      <c r="B2" s="21" t="s">
        <v>61</v>
      </c>
      <c r="C2" s="21" t="s">
        <v>62</v>
      </c>
      <c r="D2" s="21" t="s">
        <v>63</v>
      </c>
      <c r="E2" s="21" t="s">
        <v>420</v>
      </c>
      <c r="F2" s="20" t="s">
        <v>64</v>
      </c>
      <c r="G2" s="20" t="s">
        <v>79</v>
      </c>
      <c r="H2" s="30" t="s">
        <v>69</v>
      </c>
      <c r="I2" s="28" t="s">
        <v>70</v>
      </c>
      <c r="J2" s="20" t="s">
        <v>210</v>
      </c>
      <c r="K2" s="20" t="s">
        <v>211</v>
      </c>
    </row>
    <row r="3" spans="1:11">
      <c r="A3" t="s">
        <v>431</v>
      </c>
      <c r="B3" t="s">
        <v>65</v>
      </c>
      <c r="C3" s="26" t="s">
        <v>66</v>
      </c>
      <c r="D3" t="s">
        <v>67</v>
      </c>
      <c r="E3" t="s">
        <v>68</v>
      </c>
      <c r="F3" s="14">
        <v>45000</v>
      </c>
      <c r="G3" s="14">
        <v>0</v>
      </c>
      <c r="H3" s="11">
        <v>38538</v>
      </c>
      <c r="I3" s="27">
        <f>Inventory!I29</f>
        <v>35</v>
      </c>
      <c r="J3" s="14">
        <f>(F3)*(I3)</f>
        <v>1575000</v>
      </c>
      <c r="K3" s="14">
        <f>SUM(J3:J49)</f>
        <v>2205000</v>
      </c>
    </row>
    <row r="4" spans="1:11">
      <c r="A4" t="s">
        <v>80</v>
      </c>
      <c r="B4" t="s">
        <v>81</v>
      </c>
      <c r="C4" s="26" t="s">
        <v>82</v>
      </c>
      <c r="D4" t="s">
        <v>231</v>
      </c>
      <c r="E4" t="s">
        <v>78</v>
      </c>
      <c r="F4" s="14">
        <v>9000</v>
      </c>
      <c r="G4" s="14">
        <v>0</v>
      </c>
      <c r="H4" s="11">
        <v>38538</v>
      </c>
      <c r="I4" s="27">
        <f>Inventory!I29</f>
        <v>35</v>
      </c>
      <c r="J4" s="14">
        <f>(F4*I4)+(G4)</f>
        <v>315000</v>
      </c>
    </row>
    <row r="5" spans="1:11">
      <c r="A5" t="s">
        <v>75</v>
      </c>
      <c r="B5" t="s">
        <v>75</v>
      </c>
      <c r="C5" s="26" t="s">
        <v>76</v>
      </c>
      <c r="D5" t="s">
        <v>77</v>
      </c>
      <c r="E5" t="s">
        <v>78</v>
      </c>
      <c r="F5" s="14">
        <v>9000</v>
      </c>
      <c r="G5" s="14">
        <v>0</v>
      </c>
      <c r="H5" s="11">
        <v>38538</v>
      </c>
      <c r="I5" s="27">
        <f>Inventory!I29</f>
        <v>35</v>
      </c>
      <c r="J5" s="14">
        <f>(F5*I5)+(G5)</f>
        <v>315000</v>
      </c>
    </row>
    <row r="6" spans="1:11">
      <c r="J6" s="14">
        <f t="shared" ref="J6:J19" si="0">(F6)*(I6)</f>
        <v>0</v>
      </c>
    </row>
    <row r="7" spans="1:11">
      <c r="J7" s="14">
        <f t="shared" si="0"/>
        <v>0</v>
      </c>
    </row>
    <row r="8" spans="1:11">
      <c r="J8" s="14">
        <f t="shared" si="0"/>
        <v>0</v>
      </c>
    </row>
    <row r="9" spans="1:11">
      <c r="J9" s="14">
        <f t="shared" si="0"/>
        <v>0</v>
      </c>
    </row>
    <row r="10" spans="1:11">
      <c r="J10" s="14">
        <f t="shared" si="0"/>
        <v>0</v>
      </c>
    </row>
    <row r="11" spans="1:11">
      <c r="J11" s="14">
        <f t="shared" si="0"/>
        <v>0</v>
      </c>
    </row>
    <row r="12" spans="1:11">
      <c r="J12" s="14">
        <f t="shared" si="0"/>
        <v>0</v>
      </c>
    </row>
    <row r="13" spans="1:11">
      <c r="J13" s="14">
        <f t="shared" si="0"/>
        <v>0</v>
      </c>
    </row>
    <row r="14" spans="1:11">
      <c r="J14" s="14">
        <f t="shared" si="0"/>
        <v>0</v>
      </c>
    </row>
    <row r="15" spans="1:11">
      <c r="J15" s="14">
        <f t="shared" si="0"/>
        <v>0</v>
      </c>
    </row>
    <row r="16" spans="1:11">
      <c r="J16" s="14">
        <f t="shared" si="0"/>
        <v>0</v>
      </c>
    </row>
    <row r="17" spans="10:10">
      <c r="J17" s="14">
        <f t="shared" si="0"/>
        <v>0</v>
      </c>
    </row>
    <row r="18" spans="10:10">
      <c r="J18" s="14">
        <f t="shared" si="0"/>
        <v>0</v>
      </c>
    </row>
    <row r="19" spans="10:10">
      <c r="J19" s="14">
        <f t="shared" si="0"/>
        <v>0</v>
      </c>
    </row>
  </sheetData>
  <sheetCalcPr fullCalcOnLoad="1"/>
  <phoneticPr fontId="1" type="noConversion"/>
  <hyperlinks>
    <hyperlink ref="C3" r:id="rId1"/>
    <hyperlink ref="C5" r:id="rId2"/>
    <hyperlink ref="C4" r:id="rId3"/>
  </hyperlink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35"/>
  <sheetViews>
    <sheetView workbookViewId="0">
      <selection activeCell="D3" sqref="D3"/>
    </sheetView>
  </sheetViews>
  <sheetFormatPr baseColWidth="10" defaultRowHeight="12"/>
  <cols>
    <col min="1" max="1" width="10.5" bestFit="1" customWidth="1"/>
    <col min="2" max="2" width="17.83203125" style="56" bestFit="1" customWidth="1"/>
    <col min="3" max="3" width="18.1640625" bestFit="1" customWidth="1"/>
    <col min="4" max="4" width="6.5" bestFit="1" customWidth="1"/>
    <col min="5" max="5" width="22.1640625" bestFit="1" customWidth="1"/>
    <col min="6" max="6" width="19.83203125" bestFit="1" customWidth="1"/>
    <col min="7" max="7" width="21.33203125" bestFit="1" customWidth="1"/>
    <col min="8" max="8" width="22.83203125" bestFit="1" customWidth="1"/>
    <col min="9" max="9" width="24.6640625" bestFit="1" customWidth="1"/>
    <col min="10" max="10" width="16.5" bestFit="1" customWidth="1"/>
  </cols>
  <sheetData>
    <row r="1" spans="1:10" ht="17">
      <c r="A1" s="17" t="s">
        <v>324</v>
      </c>
      <c r="B1" s="61" t="s">
        <v>23</v>
      </c>
      <c r="C1" s="55" t="s">
        <v>24</v>
      </c>
      <c r="D1" s="17" t="s">
        <v>333</v>
      </c>
      <c r="E1" s="55" t="s">
        <v>25</v>
      </c>
      <c r="F1" s="17" t="s">
        <v>37</v>
      </c>
      <c r="G1" s="55" t="s">
        <v>30</v>
      </c>
      <c r="H1" s="55" t="s">
        <v>31</v>
      </c>
      <c r="I1" s="55" t="s">
        <v>32</v>
      </c>
      <c r="J1" s="55" t="s">
        <v>33</v>
      </c>
    </row>
    <row r="2" spans="1:10">
      <c r="A2" s="16" t="s">
        <v>26</v>
      </c>
      <c r="B2" s="53">
        <f>Factories!E107</f>
        <v>137800</v>
      </c>
      <c r="C2" s="54">
        <f>Factories!F107</f>
        <v>11575200</v>
      </c>
      <c r="D2" s="16">
        <f>Inventory!I5</f>
        <v>1050</v>
      </c>
      <c r="E2" s="54">
        <v>23496036000</v>
      </c>
      <c r="F2" s="56">
        <v>18500000000</v>
      </c>
      <c r="G2" s="57">
        <v>84</v>
      </c>
      <c r="H2" s="57">
        <v>84</v>
      </c>
      <c r="I2" s="57">
        <v>84</v>
      </c>
      <c r="J2" s="57">
        <v>84</v>
      </c>
    </row>
    <row r="3" spans="1:10">
      <c r="A3" s="16" t="s">
        <v>27</v>
      </c>
      <c r="B3" s="53">
        <f>Shipyards!D27</f>
        <v>4300</v>
      </c>
      <c r="C3" s="54">
        <f>Shipyards!E27</f>
        <v>361200</v>
      </c>
      <c r="D3" s="16"/>
      <c r="E3" s="54"/>
      <c r="G3" s="57"/>
      <c r="H3" s="57"/>
      <c r="I3" s="57"/>
      <c r="J3" s="57"/>
    </row>
    <row r="4" spans="1:10" ht="17">
      <c r="A4" s="16" t="s">
        <v>28</v>
      </c>
      <c r="B4" s="53">
        <f>Warehouses!C24</f>
        <v>2000</v>
      </c>
      <c r="C4" s="54">
        <f>Warehouses!D24</f>
        <v>168000</v>
      </c>
      <c r="D4" s="16"/>
      <c r="E4" s="54"/>
      <c r="G4" s="55"/>
      <c r="H4" s="57"/>
      <c r="I4" s="57"/>
      <c r="J4" s="57"/>
    </row>
    <row r="5" spans="1:10">
      <c r="A5" s="16" t="s">
        <v>29</v>
      </c>
      <c r="B5" s="53">
        <f>(F2)*(0.5)</f>
        <v>9250000000</v>
      </c>
      <c r="C5" s="54">
        <f>(J2)*(B5)</f>
        <v>777000000000</v>
      </c>
      <c r="D5" s="16"/>
      <c r="E5" s="54"/>
      <c r="G5" s="57"/>
      <c r="H5" s="57"/>
      <c r="I5" s="57"/>
      <c r="J5" s="57"/>
    </row>
    <row r="6" spans="1:10">
      <c r="A6" s="16"/>
      <c r="B6" s="53"/>
      <c r="C6" s="54"/>
      <c r="D6" s="16"/>
      <c r="E6" s="54"/>
      <c r="G6" s="57"/>
      <c r="H6" s="57"/>
      <c r="I6" s="57"/>
      <c r="J6" s="57"/>
    </row>
    <row r="7" spans="1:10">
      <c r="A7" s="16"/>
      <c r="B7" s="53"/>
      <c r="C7" s="54"/>
      <c r="D7" s="16"/>
      <c r="E7" s="54"/>
      <c r="G7" s="57"/>
      <c r="H7" s="57"/>
      <c r="I7" s="57"/>
      <c r="J7" s="57"/>
    </row>
    <row r="8" spans="1:10">
      <c r="A8" s="16"/>
      <c r="B8" s="53"/>
      <c r="C8" s="54"/>
      <c r="D8" s="16"/>
      <c r="E8" s="54"/>
      <c r="G8" s="57"/>
      <c r="H8" s="57"/>
      <c r="I8" s="57"/>
      <c r="J8" s="57"/>
    </row>
    <row r="9" spans="1:10">
      <c r="A9" s="16"/>
      <c r="B9" s="53"/>
      <c r="C9" s="54"/>
      <c r="D9" s="16"/>
      <c r="E9" s="54"/>
      <c r="G9" s="57"/>
      <c r="H9" s="57"/>
      <c r="I9" s="57"/>
      <c r="J9" s="57"/>
    </row>
    <row r="10" spans="1:10">
      <c r="A10" s="16"/>
      <c r="B10" s="53"/>
      <c r="C10" s="54"/>
      <c r="D10" s="16"/>
      <c r="E10" s="54"/>
      <c r="G10" s="57"/>
      <c r="H10" s="57"/>
      <c r="I10" s="57"/>
      <c r="J10" s="57"/>
    </row>
    <row r="11" spans="1:10">
      <c r="A11" s="16"/>
      <c r="B11" s="53"/>
      <c r="C11" s="54"/>
      <c r="D11" s="16"/>
      <c r="E11" s="54"/>
      <c r="G11" s="57"/>
      <c r="H11" s="57"/>
      <c r="I11" s="57"/>
      <c r="J11" s="57"/>
    </row>
    <row r="12" spans="1:10">
      <c r="A12" s="16"/>
      <c r="B12" s="53"/>
      <c r="C12" s="54"/>
      <c r="D12" s="16"/>
      <c r="E12" s="54"/>
      <c r="G12" s="57"/>
      <c r="H12" s="57"/>
      <c r="I12" s="57"/>
      <c r="J12" s="57"/>
    </row>
    <row r="13" spans="1:10">
      <c r="A13" s="16"/>
      <c r="B13" s="53"/>
      <c r="C13" s="54"/>
      <c r="D13" s="16"/>
      <c r="E13" s="54"/>
      <c r="G13" s="57"/>
      <c r="H13" s="57"/>
      <c r="I13" s="57"/>
      <c r="J13" s="57"/>
    </row>
    <row r="14" spans="1:10">
      <c r="A14" s="16"/>
      <c r="B14" s="53"/>
      <c r="C14" s="54"/>
      <c r="D14" s="16"/>
      <c r="E14" s="54"/>
      <c r="G14" s="57"/>
      <c r="H14" s="57"/>
      <c r="I14" s="57"/>
      <c r="J14" s="57"/>
    </row>
    <row r="15" spans="1:10">
      <c r="A15" s="16"/>
      <c r="B15" s="53"/>
      <c r="C15" s="54"/>
      <c r="D15" s="16"/>
      <c r="E15" s="54"/>
      <c r="G15" s="57"/>
      <c r="H15" s="57"/>
      <c r="I15" s="57"/>
      <c r="J15" s="57"/>
    </row>
    <row r="16" spans="1:10">
      <c r="A16" s="16"/>
      <c r="B16" s="53"/>
      <c r="C16" s="54"/>
      <c r="D16" s="16"/>
      <c r="E16" s="54"/>
      <c r="G16" s="57"/>
      <c r="H16" s="57"/>
      <c r="I16" s="57"/>
      <c r="J16" s="57"/>
    </row>
    <row r="17" spans="1:10">
      <c r="A17" s="16"/>
      <c r="B17" s="53"/>
      <c r="C17" s="54"/>
      <c r="D17" s="16"/>
      <c r="E17" s="54"/>
      <c r="G17" s="57"/>
      <c r="H17" s="57"/>
      <c r="I17" s="57"/>
      <c r="J17" s="57"/>
    </row>
    <row r="18" spans="1:10">
      <c r="A18" s="16"/>
      <c r="B18" s="53"/>
      <c r="C18" s="54"/>
      <c r="D18" s="16"/>
      <c r="E18" s="54"/>
      <c r="G18" s="57"/>
      <c r="H18" s="57"/>
      <c r="I18" s="57"/>
      <c r="J18" s="57"/>
    </row>
    <row r="19" spans="1:10">
      <c r="A19" s="16"/>
      <c r="B19" s="53"/>
      <c r="C19" s="54"/>
      <c r="D19" s="16"/>
      <c r="E19" s="54"/>
      <c r="G19" s="57"/>
      <c r="H19" s="57"/>
      <c r="I19" s="57"/>
      <c r="J19" s="57"/>
    </row>
    <row r="20" spans="1:10">
      <c r="A20" s="16"/>
      <c r="B20" s="53"/>
      <c r="C20" s="54"/>
      <c r="D20" s="16"/>
      <c r="E20" s="54"/>
      <c r="G20" s="57"/>
      <c r="H20" s="57"/>
      <c r="I20" s="57"/>
      <c r="J20" s="57"/>
    </row>
    <row r="21" spans="1:10">
      <c r="C21" s="57"/>
      <c r="E21" s="57"/>
      <c r="G21" s="57"/>
      <c r="H21" s="57"/>
      <c r="I21" s="57"/>
      <c r="J21" s="57"/>
    </row>
    <row r="22" spans="1:10">
      <c r="C22" s="57"/>
      <c r="E22" s="57"/>
      <c r="G22" s="57"/>
      <c r="H22" s="57"/>
      <c r="I22" s="57"/>
      <c r="J22" s="57"/>
    </row>
    <row r="23" spans="1:10">
      <c r="C23" s="57"/>
      <c r="E23" s="57"/>
      <c r="G23" s="57"/>
      <c r="H23" s="57"/>
      <c r="I23" s="57"/>
      <c r="J23" s="57"/>
    </row>
    <row r="24" spans="1:10">
      <c r="C24" s="57"/>
      <c r="E24" s="57"/>
      <c r="G24" s="57"/>
      <c r="H24" s="57"/>
      <c r="I24" s="57"/>
      <c r="J24" s="57"/>
    </row>
    <row r="25" spans="1:10">
      <c r="C25" s="57"/>
      <c r="E25" s="57"/>
      <c r="G25" s="57"/>
      <c r="H25" s="57"/>
      <c r="I25" s="57"/>
      <c r="J25" s="57"/>
    </row>
    <row r="26" spans="1:10">
      <c r="C26" s="57"/>
      <c r="E26" s="57"/>
      <c r="G26" s="57"/>
      <c r="H26" s="57"/>
      <c r="I26" s="57"/>
      <c r="J26" s="57"/>
    </row>
    <row r="27" spans="1:10">
      <c r="C27" s="57"/>
      <c r="E27" s="57"/>
      <c r="G27" s="57"/>
      <c r="H27" s="57"/>
      <c r="I27" s="57"/>
      <c r="J27" s="57"/>
    </row>
    <row r="28" spans="1:10">
      <c r="C28" s="57"/>
      <c r="E28" s="57"/>
      <c r="G28" s="57"/>
      <c r="H28" s="57"/>
      <c r="I28" s="57"/>
      <c r="J28" s="57"/>
    </row>
    <row r="29" spans="1:10">
      <c r="C29" s="57"/>
      <c r="E29" s="57"/>
      <c r="G29" s="57"/>
      <c r="H29" s="57"/>
      <c r="I29" s="57"/>
      <c r="J29" s="57"/>
    </row>
    <row r="30" spans="1:10">
      <c r="C30" s="57"/>
      <c r="E30" s="57"/>
      <c r="G30" s="57"/>
      <c r="H30" s="57"/>
      <c r="I30" s="57"/>
      <c r="J30" s="57"/>
    </row>
    <row r="31" spans="1:10">
      <c r="C31" s="57"/>
      <c r="E31" s="57"/>
      <c r="G31" s="57"/>
      <c r="H31" s="57"/>
      <c r="I31" s="57"/>
      <c r="J31" s="57"/>
    </row>
    <row r="32" spans="1:10">
      <c r="C32" s="57"/>
      <c r="E32" s="57"/>
      <c r="G32" s="57"/>
      <c r="H32" s="57"/>
      <c r="I32" s="57"/>
      <c r="J32" s="57"/>
    </row>
    <row r="33" spans="3:10">
      <c r="C33" s="57"/>
      <c r="E33" s="57"/>
      <c r="G33" s="57"/>
      <c r="H33" s="57"/>
      <c r="I33" s="57"/>
      <c r="J33" s="57"/>
    </row>
    <row r="34" spans="3:10">
      <c r="C34" s="57"/>
      <c r="E34" s="57"/>
      <c r="G34" s="57"/>
      <c r="H34" s="57"/>
      <c r="I34" s="57"/>
      <c r="J34" s="57"/>
    </row>
    <row r="35" spans="3:10">
      <c r="C35" s="57"/>
      <c r="E35" s="57"/>
      <c r="F35" s="56"/>
      <c r="G35" s="57"/>
      <c r="H35" s="57"/>
      <c r="I35" s="57"/>
      <c r="J35" s="57"/>
    </row>
  </sheetData>
  <sheetCalcPr fullCalcOnLoad="1"/>
  <phoneticPr fontId="15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I22"/>
  <sheetViews>
    <sheetView topLeftCell="B1" zoomScale="150" workbookViewId="0">
      <selection activeCell="B9" sqref="B9"/>
    </sheetView>
  </sheetViews>
  <sheetFormatPr baseColWidth="10" defaultColWidth="9.1640625" defaultRowHeight="12"/>
  <cols>
    <col min="1" max="1" width="16.83203125" style="19" bestFit="1" customWidth="1"/>
    <col min="2" max="2" width="21.6640625" style="19" customWidth="1"/>
    <col min="3" max="3" width="19" style="19" bestFit="1" customWidth="1"/>
    <col min="4" max="4" width="22.83203125" style="19" customWidth="1"/>
    <col min="5" max="5" width="17.83203125" style="19" customWidth="1"/>
    <col min="6" max="6" width="25.33203125" style="19" bestFit="1" customWidth="1"/>
    <col min="7" max="7" width="19" style="19" customWidth="1"/>
    <col min="8" max="8" width="20.5" style="19" customWidth="1"/>
    <col min="9" max="16384" width="9.1640625" style="16"/>
  </cols>
  <sheetData>
    <row r="2" spans="1:9" s="21" customFormat="1" ht="15">
      <c r="A2" s="20" t="s">
        <v>337</v>
      </c>
      <c r="B2" s="20" t="s">
        <v>173</v>
      </c>
      <c r="C2" s="20" t="s">
        <v>175</v>
      </c>
      <c r="D2" s="20" t="s">
        <v>54</v>
      </c>
      <c r="E2" s="20" t="s">
        <v>52</v>
      </c>
      <c r="F2" s="20" t="s">
        <v>53</v>
      </c>
      <c r="G2" s="20" t="s">
        <v>55</v>
      </c>
      <c r="H2" s="20" t="s">
        <v>174</v>
      </c>
      <c r="I2" s="21" t="s">
        <v>333</v>
      </c>
    </row>
    <row r="3" spans="1:9">
      <c r="A3" s="19">
        <v>41666666666.669998</v>
      </c>
      <c r="B3" s="19">
        <f>Factories!K3</f>
        <v>17508960000</v>
      </c>
      <c r="C3" s="19" t="s">
        <v>343</v>
      </c>
      <c r="D3" s="19">
        <f>SUM(B3:B15)</f>
        <v>28407855793749</v>
      </c>
      <c r="E3" s="19">
        <f>Sales!N34</f>
        <v>8599200</v>
      </c>
      <c r="F3" s="19" t="s">
        <v>249</v>
      </c>
      <c r="G3" s="19">
        <f>SUM(E3:E15)</f>
        <v>163734826165425</v>
      </c>
      <c r="H3" s="19">
        <f>(A3+G3)-(D3)</f>
        <v>135368637038342.66</v>
      </c>
      <c r="I3" s="16">
        <f>Inventory!I5</f>
        <v>1050</v>
      </c>
    </row>
    <row r="4" spans="1:9">
      <c r="B4" s="19">
        <f>Shipyards!J3</f>
        <v>989260000</v>
      </c>
      <c r="C4" s="19" t="s">
        <v>341</v>
      </c>
      <c r="E4" s="19">
        <f>Sales!N41</f>
        <v>56100</v>
      </c>
      <c r="F4" s="19" t="s">
        <v>250</v>
      </c>
    </row>
    <row r="5" spans="1:9">
      <c r="B5" s="19">
        <f>Warehouses!I3</f>
        <v>576400000</v>
      </c>
      <c r="C5" s="19" t="s">
        <v>342</v>
      </c>
      <c r="E5" s="19">
        <f>Sales!N43</f>
        <v>175000</v>
      </c>
      <c r="F5" s="19" t="s">
        <v>251</v>
      </c>
    </row>
    <row r="6" spans="1:9">
      <c r="B6" s="19">
        <f>SSCEmployees!K3</f>
        <v>2205000</v>
      </c>
      <c r="C6" s="19" t="s">
        <v>58</v>
      </c>
      <c r="E6" s="19">
        <f>Inventory!U111</f>
        <v>122429110124.99997</v>
      </c>
      <c r="F6" s="19" t="s">
        <v>258</v>
      </c>
    </row>
    <row r="7" spans="1:9">
      <c r="B7" s="19">
        <f>Inventory!Q5</f>
        <v>37660477.75</v>
      </c>
      <c r="C7" s="19" t="s">
        <v>51</v>
      </c>
      <c r="E7" s="19">
        <f>'Sullust Treasury'!B8</f>
        <v>925000000000</v>
      </c>
      <c r="F7" s="19" t="s">
        <v>153</v>
      </c>
    </row>
    <row r="8" spans="1:9">
      <c r="B8" s="19">
        <f>('Sullust Treasury'!E4)</f>
        <v>8186741308271.25</v>
      </c>
      <c r="C8" s="19" t="s">
        <v>172</v>
      </c>
      <c r="E8" s="19">
        <f>0+'Sullust Treasury'!B12</f>
        <v>122437940424999.98</v>
      </c>
      <c r="F8" s="19" t="s">
        <v>8</v>
      </c>
    </row>
    <row r="9" spans="1:9">
      <c r="B9" s="19">
        <f>'SSC NPC Employees'!C5</f>
        <v>777000000000</v>
      </c>
      <c r="C9" s="19" t="s">
        <v>34</v>
      </c>
      <c r="E9" s="19">
        <f>'Sullust Treasury'!B13</f>
        <v>555000000000</v>
      </c>
      <c r="F9" s="19" t="s">
        <v>91</v>
      </c>
    </row>
    <row r="10" spans="1:9">
      <c r="B10" s="19">
        <f>2*B22</f>
        <v>11655000000000</v>
      </c>
      <c r="C10" s="19" t="s">
        <v>139</v>
      </c>
      <c r="E10" s="19">
        <f>'Sullust Treasury'!B14</f>
        <v>39693784500000</v>
      </c>
      <c r="F10" s="19" t="s">
        <v>404</v>
      </c>
    </row>
    <row r="11" spans="1:9">
      <c r="B11" s="19">
        <f>2*C22</f>
        <v>7770000000000</v>
      </c>
      <c r="C11" s="19" t="s">
        <v>140</v>
      </c>
      <c r="E11" s="19">
        <f>Sales!N50</f>
        <v>658800000</v>
      </c>
      <c r="F11" s="19" t="s">
        <v>380</v>
      </c>
    </row>
    <row r="12" spans="1:9">
      <c r="E12" s="19">
        <f>Sales!N52</f>
        <v>4500000</v>
      </c>
      <c r="F12" s="19" t="s">
        <v>381</v>
      </c>
    </row>
    <row r="21" spans="1:4">
      <c r="A21" s="19" t="s">
        <v>56</v>
      </c>
      <c r="B21" s="19" t="s">
        <v>5</v>
      </c>
      <c r="C21" s="19" t="s">
        <v>6</v>
      </c>
      <c r="D21" s="19" t="s">
        <v>9</v>
      </c>
    </row>
    <row r="22" spans="1:4">
      <c r="A22" s="19">
        <f>(D3)/(I3)</f>
        <v>27055100755.951427</v>
      </c>
      <c r="B22" s="71">
        <f>0.03*'Sullust Treasury'!B26</f>
        <v>5827500000000</v>
      </c>
      <c r="C22" s="71">
        <f>0.1*'Sullust Treasury'!D26</f>
        <v>3885000000000</v>
      </c>
      <c r="D22" s="72">
        <f>SUM(E3:E6)*10000</f>
        <v>1224379404249999.8</v>
      </c>
    </row>
  </sheetData>
  <sheetCalcPr fullCalcOnLoad="1"/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Inventory</vt:lpstr>
      <vt:lpstr>Sales</vt:lpstr>
      <vt:lpstr>Factories</vt:lpstr>
      <vt:lpstr>Shipyards</vt:lpstr>
      <vt:lpstr>Warehouses</vt:lpstr>
      <vt:lpstr>Utilities</vt:lpstr>
      <vt:lpstr>SSCEmployees</vt:lpstr>
      <vt:lpstr>SSC NPC Employees</vt:lpstr>
      <vt:lpstr>SSC Treasury</vt:lpstr>
      <vt:lpstr>Sullust Treasury</vt:lpstr>
      <vt:lpstr>NPC Employees</vt:lpstr>
      <vt:lpstr>Employees</vt:lpstr>
      <vt:lpstr>WoTC RPG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Reinhart1</dc:creator>
  <cp:lastModifiedBy>Jonathan J. Reinhart</cp:lastModifiedBy>
  <dcterms:created xsi:type="dcterms:W3CDTF">2005-07-05T06:36:57Z</dcterms:created>
  <dcterms:modified xsi:type="dcterms:W3CDTF">2009-10-14T05:11:25Z</dcterms:modified>
</cp:coreProperties>
</file>